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2.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drawings/drawing3.xml" ContentType="application/vnd.openxmlformats-officedocument.drawing+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drawings/drawing4.xml" ContentType="application/vnd.openxmlformats-officedocument.drawing+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drawings/drawing5.xml" ContentType="application/vnd.openxmlformats-officedocument.drawing+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drawings/drawing6.xml" ContentType="application/vnd.openxmlformats-officedocument.drawing+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UI/images/vertex42_logo0.png" ContentType="image/.png"/>
  <Override PartName="/customUI/images/vertex42_logo.png" ContentType="image/.png"/>
  <Override PartName="/customUI/images/personal-monthly-budget_180.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8953a91e1d294b72" Type="http://schemas.microsoft.com/office/2006/relationships/ui/extensibility" Target="customUI/customUI.xml"/><Relationship Id="R47968f6ed1a44332" Type="http://schemas.microsoft.com/office/2007/relationships/ui/extensibility" Target="customUI/customUI14.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codeName="ThisWorkbook"/>
  <mc:AlternateContent xmlns:mc="http://schemas.openxmlformats.org/markup-compatibility/2006">
    <mc:Choice Requires="x15">
      <x15ac:absPath xmlns:x15ac="http://schemas.microsoft.com/office/spreadsheetml/2010/11/ac" url="C:\Users\pamel\Downloads\"/>
    </mc:Choice>
  </mc:AlternateContent>
  <xr:revisionPtr revIDLastSave="0" documentId="13_ncr:1_{FB8D8C51-AD92-4E03-B79A-8A9D452AC93D}" xr6:coauthVersionLast="40" xr6:coauthVersionMax="40" xr10:uidLastSave="{00000000-0000-0000-0000-000000000000}"/>
  <bookViews>
    <workbookView xWindow="0" yWindow="1200" windowWidth="34932" windowHeight="18276" activeTab="5" xr2:uid="{00000000-000D-0000-FFFF-FFFF00000000}"/>
  </bookViews>
  <sheets>
    <sheet name="Month 1" sheetId="5" r:id="rId1"/>
    <sheet name="Month 2" sheetId="1" r:id="rId2"/>
    <sheet name="Month 3" sheetId="6" r:id="rId3"/>
    <sheet name="Month 4" sheetId="7" r:id="rId4"/>
    <sheet name="Month 5" sheetId="8" r:id="rId5"/>
    <sheet name="Month 6" sheetId="9" r:id="rId6"/>
    <sheet name="Help" sheetId="2" r:id="rId7"/>
    <sheet name="©" sheetId="4" r:id="rId8"/>
  </sheets>
  <definedNames>
    <definedName name="_xlnm.Print_Area" localSheetId="0">'Month 1'!$A$1:$I$63</definedName>
    <definedName name="_xlnm.Print_Area" localSheetId="1">'Month 2'!$A$1:$I$63</definedName>
    <definedName name="_xlnm.Print_Area" localSheetId="2">'Month 3'!$A$1:$I$63</definedName>
    <definedName name="_xlnm.Print_Area" localSheetId="3">'Month 4'!$A$1:$I$63</definedName>
    <definedName name="_xlnm.Print_Area" localSheetId="4">'Month 5'!$A$1:$I$63</definedName>
    <definedName name="_xlnm.Print_Area" localSheetId="5">'Month 6'!$A$1:$I$63</definedName>
    <definedName name="valuevx">42.314159</definedName>
    <definedName name="vertex42_copyright" hidden="1">"© 2008-2014 Vertex42 LLC"</definedName>
    <definedName name="vertex42_id" hidden="1">"personal-monthly-budget.xlsx"</definedName>
    <definedName name="vertex42_title" hidden="1">"Personal Monthly Budget"</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3" i="9" l="1"/>
  <c r="G63" i="9"/>
  <c r="F63" i="9"/>
  <c r="C63" i="9"/>
  <c r="B63" i="9"/>
  <c r="A63" i="9"/>
  <c r="I62" i="9"/>
  <c r="D62" i="9"/>
  <c r="I61" i="9"/>
  <c r="D61" i="9"/>
  <c r="I60" i="9"/>
  <c r="D60" i="9"/>
  <c r="I59" i="9"/>
  <c r="I63" i="9" s="1"/>
  <c r="D59" i="9"/>
  <c r="D63" i="9" s="1"/>
  <c r="H56" i="9"/>
  <c r="G56" i="9"/>
  <c r="F56" i="9"/>
  <c r="C56" i="9"/>
  <c r="B56" i="9"/>
  <c r="A56" i="9"/>
  <c r="I55" i="9"/>
  <c r="D55" i="9"/>
  <c r="I54" i="9"/>
  <c r="D54" i="9"/>
  <c r="I53" i="9"/>
  <c r="D53" i="9"/>
  <c r="I52" i="9"/>
  <c r="D52" i="9"/>
  <c r="D56" i="9" s="1"/>
  <c r="I51" i="9"/>
  <c r="I56" i="9" s="1"/>
  <c r="I50" i="9"/>
  <c r="I49" i="9"/>
  <c r="C49" i="9"/>
  <c r="B49" i="9"/>
  <c r="A49" i="9"/>
  <c r="D48" i="9"/>
  <c r="D47" i="9"/>
  <c r="H46" i="9"/>
  <c r="G46" i="9"/>
  <c r="G6" i="9" s="1"/>
  <c r="I6" i="9" s="1"/>
  <c r="F46" i="9"/>
  <c r="D46" i="9"/>
  <c r="I45" i="9"/>
  <c r="D45" i="9"/>
  <c r="I44" i="9"/>
  <c r="D44" i="9"/>
  <c r="I43" i="9"/>
  <c r="D43" i="9"/>
  <c r="D49" i="9" s="1"/>
  <c r="I42" i="9"/>
  <c r="D42" i="9"/>
  <c r="I41" i="9"/>
  <c r="I40" i="9"/>
  <c r="I46" i="9" s="1"/>
  <c r="C39" i="9"/>
  <c r="B39" i="9"/>
  <c r="A39" i="9"/>
  <c r="D38" i="9"/>
  <c r="H37" i="9"/>
  <c r="G37" i="9"/>
  <c r="F37" i="9"/>
  <c r="D37" i="9"/>
  <c r="I36" i="9"/>
  <c r="D36" i="9"/>
  <c r="I35" i="9"/>
  <c r="D35" i="9"/>
  <c r="I34" i="9"/>
  <c r="D34" i="9"/>
  <c r="I33" i="9"/>
  <c r="D33" i="9"/>
  <c r="I32" i="9"/>
  <c r="D32" i="9"/>
  <c r="D39" i="9" s="1"/>
  <c r="I31" i="9"/>
  <c r="I30" i="9"/>
  <c r="I29" i="9"/>
  <c r="A29" i="9"/>
  <c r="I28" i="9"/>
  <c r="I27" i="9"/>
  <c r="I26" i="9"/>
  <c r="I25" i="9"/>
  <c r="I24" i="9"/>
  <c r="I23" i="9"/>
  <c r="I37" i="9" s="1"/>
  <c r="H20" i="9"/>
  <c r="H6" i="9" s="1"/>
  <c r="G20" i="9"/>
  <c r="F20" i="9"/>
  <c r="I19" i="9"/>
  <c r="I18" i="9"/>
  <c r="I17" i="9"/>
  <c r="I16" i="9"/>
  <c r="I15" i="9"/>
  <c r="I14" i="9"/>
  <c r="I13" i="9"/>
  <c r="C13" i="9"/>
  <c r="B13" i="9"/>
  <c r="G5" i="9" s="1"/>
  <c r="A13" i="9"/>
  <c r="I12" i="9"/>
  <c r="D12" i="9"/>
  <c r="I11" i="9"/>
  <c r="I20" i="9" s="1"/>
  <c r="D11" i="9"/>
  <c r="D10" i="9"/>
  <c r="D9" i="9"/>
  <c r="D8" i="9"/>
  <c r="D7" i="9"/>
  <c r="D6" i="9"/>
  <c r="H5" i="9"/>
  <c r="H7" i="9" s="1"/>
  <c r="D5" i="9"/>
  <c r="D13" i="9" s="1"/>
  <c r="I5" i="9" l="1"/>
  <c r="G7" i="9"/>
  <c r="I7" i="9" s="1"/>
  <c r="H63" i="8"/>
  <c r="G63" i="8"/>
  <c r="F63" i="8"/>
  <c r="C63" i="8"/>
  <c r="B63" i="8"/>
  <c r="A63" i="8"/>
  <c r="I62" i="8"/>
  <c r="D62" i="8"/>
  <c r="I61" i="8"/>
  <c r="D61" i="8"/>
  <c r="I60" i="8"/>
  <c r="D60" i="8"/>
  <c r="I59" i="8"/>
  <c r="I63" i="8" s="1"/>
  <c r="D59" i="8"/>
  <c r="D63" i="8" s="1"/>
  <c r="H56" i="8"/>
  <c r="G56" i="8"/>
  <c r="F56" i="8"/>
  <c r="C56" i="8"/>
  <c r="B56" i="8"/>
  <c r="A56" i="8"/>
  <c r="I55" i="8"/>
  <c r="D55" i="8"/>
  <c r="I54" i="8"/>
  <c r="D54" i="8"/>
  <c r="I53" i="8"/>
  <c r="D53" i="8"/>
  <c r="I52" i="8"/>
  <c r="D52" i="8"/>
  <c r="D56" i="8" s="1"/>
  <c r="I51" i="8"/>
  <c r="I50" i="8"/>
  <c r="I49" i="8"/>
  <c r="I56" i="8" s="1"/>
  <c r="C49" i="8"/>
  <c r="B49" i="8"/>
  <c r="A49" i="8"/>
  <c r="D48" i="8"/>
  <c r="D47" i="8"/>
  <c r="H46" i="8"/>
  <c r="G46" i="8"/>
  <c r="G6" i="8" s="1"/>
  <c r="I6" i="8" s="1"/>
  <c r="F46" i="8"/>
  <c r="D46" i="8"/>
  <c r="I45" i="8"/>
  <c r="D45" i="8"/>
  <c r="I44" i="8"/>
  <c r="D44" i="8"/>
  <c r="I43" i="8"/>
  <c r="D43" i="8"/>
  <c r="D49" i="8" s="1"/>
  <c r="I42" i="8"/>
  <c r="D42" i="8"/>
  <c r="I41" i="8"/>
  <c r="I40" i="8"/>
  <c r="I46" i="8" s="1"/>
  <c r="C39" i="8"/>
  <c r="B39" i="8"/>
  <c r="A39" i="8"/>
  <c r="D38" i="8"/>
  <c r="H37" i="8"/>
  <c r="G37" i="8"/>
  <c r="F37" i="8"/>
  <c r="D37" i="8"/>
  <c r="I36" i="8"/>
  <c r="D36" i="8"/>
  <c r="I35" i="8"/>
  <c r="D35" i="8"/>
  <c r="I34" i="8"/>
  <c r="D34" i="8"/>
  <c r="I33" i="8"/>
  <c r="D33" i="8"/>
  <c r="I32" i="8"/>
  <c r="D32" i="8"/>
  <c r="D39" i="8" s="1"/>
  <c r="I31" i="8"/>
  <c r="I30" i="8"/>
  <c r="I29" i="8"/>
  <c r="A29" i="8"/>
  <c r="I28" i="8"/>
  <c r="I27" i="8"/>
  <c r="I26" i="8"/>
  <c r="I25" i="8"/>
  <c r="I24" i="8"/>
  <c r="I23" i="8"/>
  <c r="I37" i="8" s="1"/>
  <c r="H20" i="8"/>
  <c r="H6" i="8" s="1"/>
  <c r="G20" i="8"/>
  <c r="F20" i="8"/>
  <c r="I19" i="8"/>
  <c r="I18" i="8"/>
  <c r="I17" i="8"/>
  <c r="I16" i="8"/>
  <c r="I15" i="8"/>
  <c r="I14" i="8"/>
  <c r="I13" i="8"/>
  <c r="C13" i="8"/>
  <c r="B13" i="8"/>
  <c r="G5" i="8" s="1"/>
  <c r="A13" i="8"/>
  <c r="I12" i="8"/>
  <c r="D12" i="8"/>
  <c r="I11" i="8"/>
  <c r="I20" i="8" s="1"/>
  <c r="D11" i="8"/>
  <c r="D10" i="8"/>
  <c r="D9" i="8"/>
  <c r="D8" i="8"/>
  <c r="D7" i="8"/>
  <c r="D6" i="8"/>
  <c r="H5" i="8"/>
  <c r="D5" i="8"/>
  <c r="D13" i="8" s="1"/>
  <c r="H63" i="7"/>
  <c r="G63" i="7"/>
  <c r="F63" i="7"/>
  <c r="C63" i="7"/>
  <c r="B63" i="7"/>
  <c r="A63" i="7"/>
  <c r="I62" i="7"/>
  <c r="D62" i="7"/>
  <c r="I61" i="7"/>
  <c r="D61" i="7"/>
  <c r="I60" i="7"/>
  <c r="D60" i="7"/>
  <c r="I59" i="7"/>
  <c r="I63" i="7" s="1"/>
  <c r="D59" i="7"/>
  <c r="D63" i="7" s="1"/>
  <c r="H56" i="7"/>
  <c r="G56" i="7"/>
  <c r="F56" i="7"/>
  <c r="C56" i="7"/>
  <c r="B56" i="7"/>
  <c r="A56" i="7"/>
  <c r="I55" i="7"/>
  <c r="D55" i="7"/>
  <c r="I54" i="7"/>
  <c r="D54" i="7"/>
  <c r="I53" i="7"/>
  <c r="D53" i="7"/>
  <c r="I52" i="7"/>
  <c r="D52" i="7"/>
  <c r="D56" i="7" s="1"/>
  <c r="I51" i="7"/>
  <c r="I50" i="7"/>
  <c r="I49" i="7"/>
  <c r="I56" i="7" s="1"/>
  <c r="C49" i="7"/>
  <c r="B49" i="7"/>
  <c r="A49" i="7"/>
  <c r="D48" i="7"/>
  <c r="D47" i="7"/>
  <c r="H46" i="7"/>
  <c r="H6" i="7" s="1"/>
  <c r="G46" i="7"/>
  <c r="G6" i="7" s="1"/>
  <c r="I6" i="7" s="1"/>
  <c r="F46" i="7"/>
  <c r="D46" i="7"/>
  <c r="I45" i="7"/>
  <c r="D45" i="7"/>
  <c r="I44" i="7"/>
  <c r="D44" i="7"/>
  <c r="I43" i="7"/>
  <c r="D43" i="7"/>
  <c r="D49" i="7" s="1"/>
  <c r="I42" i="7"/>
  <c r="D42" i="7"/>
  <c r="I41" i="7"/>
  <c r="I40" i="7"/>
  <c r="I46" i="7" s="1"/>
  <c r="C39" i="7"/>
  <c r="B39" i="7"/>
  <c r="A39" i="7"/>
  <c r="D38" i="7"/>
  <c r="H37" i="7"/>
  <c r="G37" i="7"/>
  <c r="F37" i="7"/>
  <c r="D37" i="7"/>
  <c r="I36" i="7"/>
  <c r="D36" i="7"/>
  <c r="I35" i="7"/>
  <c r="D35" i="7"/>
  <c r="I34" i="7"/>
  <c r="D34" i="7"/>
  <c r="I33" i="7"/>
  <c r="D33" i="7"/>
  <c r="I32" i="7"/>
  <c r="D32" i="7"/>
  <c r="D39" i="7" s="1"/>
  <c r="I31" i="7"/>
  <c r="I30" i="7"/>
  <c r="I29" i="7"/>
  <c r="A29" i="7"/>
  <c r="I28" i="7"/>
  <c r="I27" i="7"/>
  <c r="I26" i="7"/>
  <c r="I25" i="7"/>
  <c r="I24" i="7"/>
  <c r="I23" i="7"/>
  <c r="I37" i="7" s="1"/>
  <c r="H20" i="7"/>
  <c r="G20" i="7"/>
  <c r="F20" i="7"/>
  <c r="I19" i="7"/>
  <c r="I18" i="7"/>
  <c r="I17" i="7"/>
  <c r="I16" i="7"/>
  <c r="I15" i="7"/>
  <c r="I14" i="7"/>
  <c r="I13" i="7"/>
  <c r="C13" i="7"/>
  <c r="H5" i="7" s="1"/>
  <c r="H7" i="7" s="1"/>
  <c r="B13" i="7"/>
  <c r="G5" i="7" s="1"/>
  <c r="A13" i="7"/>
  <c r="I12" i="7"/>
  <c r="D12" i="7"/>
  <c r="I11" i="7"/>
  <c r="I20" i="7" s="1"/>
  <c r="D11" i="7"/>
  <c r="D10" i="7"/>
  <c r="D9" i="7"/>
  <c r="D8" i="7"/>
  <c r="D7" i="7"/>
  <c r="D6" i="7"/>
  <c r="D5" i="7"/>
  <c r="D13" i="7" s="1"/>
  <c r="H63" i="6"/>
  <c r="G63" i="6"/>
  <c r="F63" i="6"/>
  <c r="C63" i="6"/>
  <c r="B63" i="6"/>
  <c r="A63" i="6"/>
  <c r="I62" i="6"/>
  <c r="D62" i="6"/>
  <c r="I61" i="6"/>
  <c r="D61" i="6"/>
  <c r="I60" i="6"/>
  <c r="D60" i="6"/>
  <c r="I59" i="6"/>
  <c r="I63" i="6" s="1"/>
  <c r="D59" i="6"/>
  <c r="D63" i="6" s="1"/>
  <c r="H56" i="6"/>
  <c r="G56" i="6"/>
  <c r="F56" i="6"/>
  <c r="C56" i="6"/>
  <c r="B56" i="6"/>
  <c r="A56" i="6"/>
  <c r="I55" i="6"/>
  <c r="D55" i="6"/>
  <c r="I54" i="6"/>
  <c r="D54" i="6"/>
  <c r="I53" i="6"/>
  <c r="D53" i="6"/>
  <c r="I52" i="6"/>
  <c r="D52" i="6"/>
  <c r="D56" i="6" s="1"/>
  <c r="I51" i="6"/>
  <c r="I50" i="6"/>
  <c r="I49" i="6"/>
  <c r="I56" i="6" s="1"/>
  <c r="C49" i="6"/>
  <c r="B49" i="6"/>
  <c r="G6" i="6" s="1"/>
  <c r="A49" i="6"/>
  <c r="D48" i="6"/>
  <c r="D47" i="6"/>
  <c r="H46" i="6"/>
  <c r="G46" i="6"/>
  <c r="F46" i="6"/>
  <c r="D46" i="6"/>
  <c r="I45" i="6"/>
  <c r="D45" i="6"/>
  <c r="I44" i="6"/>
  <c r="D44" i="6"/>
  <c r="I43" i="6"/>
  <c r="D43" i="6"/>
  <c r="D49" i="6" s="1"/>
  <c r="I42" i="6"/>
  <c r="D42" i="6"/>
  <c r="I41" i="6"/>
  <c r="I40" i="6"/>
  <c r="I46" i="6" s="1"/>
  <c r="C39" i="6"/>
  <c r="B39" i="6"/>
  <c r="A39" i="6"/>
  <c r="D38" i="6"/>
  <c r="H37" i="6"/>
  <c r="G37" i="6"/>
  <c r="F37" i="6"/>
  <c r="D37" i="6"/>
  <c r="I36" i="6"/>
  <c r="D36" i="6"/>
  <c r="I35" i="6"/>
  <c r="D35" i="6"/>
  <c r="I34" i="6"/>
  <c r="D34" i="6"/>
  <c r="I33" i="6"/>
  <c r="D33" i="6"/>
  <c r="I32" i="6"/>
  <c r="D32" i="6"/>
  <c r="D39" i="6" s="1"/>
  <c r="I31" i="6"/>
  <c r="I30" i="6"/>
  <c r="I29" i="6"/>
  <c r="A29" i="6"/>
  <c r="I28" i="6"/>
  <c r="I27" i="6"/>
  <c r="I26" i="6"/>
  <c r="I25" i="6"/>
  <c r="I24" i="6"/>
  <c r="I23" i="6"/>
  <c r="I37" i="6" s="1"/>
  <c r="H20" i="6"/>
  <c r="H6" i="6" s="1"/>
  <c r="G20" i="6"/>
  <c r="F20" i="6"/>
  <c r="I19" i="6"/>
  <c r="I18" i="6"/>
  <c r="I17" i="6"/>
  <c r="I16" i="6"/>
  <c r="I15" i="6"/>
  <c r="I14" i="6"/>
  <c r="I13" i="6"/>
  <c r="C13" i="6"/>
  <c r="B13" i="6"/>
  <c r="G5" i="6" s="1"/>
  <c r="A13" i="6"/>
  <c r="I12" i="6"/>
  <c r="D12" i="6"/>
  <c r="I11" i="6"/>
  <c r="I20" i="6" s="1"/>
  <c r="D11" i="6"/>
  <c r="D10" i="6"/>
  <c r="D9" i="6"/>
  <c r="D8" i="6"/>
  <c r="D7" i="6"/>
  <c r="D6" i="6"/>
  <c r="H5" i="6"/>
  <c r="H7" i="6" s="1"/>
  <c r="D5" i="6"/>
  <c r="D13" i="6" s="1"/>
  <c r="I5" i="8" l="1"/>
  <c r="G7" i="8"/>
  <c r="H7" i="8"/>
  <c r="I7" i="8" s="1"/>
  <c r="I5" i="7"/>
  <c r="G7" i="7"/>
  <c r="I7" i="7"/>
  <c r="I5" i="6"/>
  <c r="G7" i="6"/>
  <c r="I7" i="6"/>
  <c r="I6" i="6"/>
  <c r="H63" i="5"/>
  <c r="G63" i="5"/>
  <c r="F63" i="5"/>
  <c r="C63" i="5"/>
  <c r="B63" i="5"/>
  <c r="A63" i="5"/>
  <c r="I62" i="5"/>
  <c r="D62" i="5"/>
  <c r="I61" i="5"/>
  <c r="D61" i="5"/>
  <c r="I60" i="5"/>
  <c r="D60" i="5"/>
  <c r="I59" i="5"/>
  <c r="D59" i="5"/>
  <c r="H56" i="5"/>
  <c r="G56" i="5"/>
  <c r="F56" i="5"/>
  <c r="C56" i="5"/>
  <c r="B56" i="5"/>
  <c r="A56" i="5"/>
  <c r="I55" i="5"/>
  <c r="D55" i="5"/>
  <c r="I54" i="5"/>
  <c r="D54" i="5"/>
  <c r="I53" i="5"/>
  <c r="D53" i="5"/>
  <c r="I52" i="5"/>
  <c r="D52" i="5"/>
  <c r="D56" i="5" s="1"/>
  <c r="I51" i="5"/>
  <c r="I50" i="5"/>
  <c r="I49" i="5"/>
  <c r="C49" i="5"/>
  <c r="B49" i="5"/>
  <c r="A49" i="5"/>
  <c r="D48" i="5"/>
  <c r="D47" i="5"/>
  <c r="H46" i="5"/>
  <c r="G46" i="5"/>
  <c r="F46" i="5"/>
  <c r="D46" i="5"/>
  <c r="I45" i="5"/>
  <c r="D45" i="5"/>
  <c r="I44" i="5"/>
  <c r="D44" i="5"/>
  <c r="I43" i="5"/>
  <c r="D43" i="5"/>
  <c r="I42" i="5"/>
  <c r="D42" i="5"/>
  <c r="D49" i="5" s="1"/>
  <c r="I41" i="5"/>
  <c r="I40" i="5"/>
  <c r="C39" i="5"/>
  <c r="B39" i="5"/>
  <c r="A39" i="5"/>
  <c r="D38" i="5"/>
  <c r="H37" i="5"/>
  <c r="G37" i="5"/>
  <c r="F37" i="5"/>
  <c r="D37" i="5"/>
  <c r="I36" i="5"/>
  <c r="D36" i="5"/>
  <c r="I35" i="5"/>
  <c r="D35" i="5"/>
  <c r="I34" i="5"/>
  <c r="D34" i="5"/>
  <c r="I33" i="5"/>
  <c r="D33" i="5"/>
  <c r="I32" i="5"/>
  <c r="D32" i="5"/>
  <c r="I31" i="5"/>
  <c r="I30" i="5"/>
  <c r="I29" i="5"/>
  <c r="A29" i="5"/>
  <c r="I28" i="5"/>
  <c r="I27" i="5"/>
  <c r="I26" i="5"/>
  <c r="I25" i="5"/>
  <c r="I24" i="5"/>
  <c r="I23" i="5"/>
  <c r="H20" i="5"/>
  <c r="G20" i="5"/>
  <c r="F20" i="5"/>
  <c r="I19" i="5"/>
  <c r="I18" i="5"/>
  <c r="I17" i="5"/>
  <c r="I16" i="5"/>
  <c r="I15" i="5"/>
  <c r="I14" i="5"/>
  <c r="I13" i="5"/>
  <c r="C13" i="5"/>
  <c r="B13" i="5"/>
  <c r="A13" i="5"/>
  <c r="I12" i="5"/>
  <c r="I20" i="5" s="1"/>
  <c r="D12" i="5"/>
  <c r="I11" i="5"/>
  <c r="D11" i="5"/>
  <c r="D10" i="5"/>
  <c r="D9" i="5"/>
  <c r="D8" i="5"/>
  <c r="D7" i="5"/>
  <c r="D6" i="5"/>
  <c r="D13" i="5" s="1"/>
  <c r="D5" i="5"/>
  <c r="D39" i="5" l="1"/>
  <c r="I46" i="5"/>
  <c r="D63" i="5"/>
  <c r="I37" i="5"/>
  <c r="I56" i="5"/>
  <c r="I63" i="5"/>
  <c r="H63" i="1"/>
  <c r="G63" i="1"/>
  <c r="C63" i="1"/>
  <c r="B63" i="1"/>
  <c r="H56" i="1"/>
  <c r="G56" i="1"/>
  <c r="C56" i="1"/>
  <c r="B56" i="1"/>
  <c r="C49" i="1"/>
  <c r="B49" i="1"/>
  <c r="H46" i="1"/>
  <c r="G46" i="1"/>
  <c r="C39" i="1"/>
  <c r="B39" i="1"/>
  <c r="H37" i="1"/>
  <c r="G37" i="1"/>
  <c r="G20" i="1"/>
  <c r="H20" i="1"/>
  <c r="C13" i="1"/>
  <c r="B13" i="1"/>
  <c r="I41" i="1" l="1"/>
  <c r="I42" i="1"/>
  <c r="I26" i="1"/>
  <c r="I27" i="1"/>
  <c r="I28" i="1"/>
  <c r="I29" i="1"/>
  <c r="I30" i="1"/>
  <c r="I12" i="1"/>
  <c r="I13" i="1"/>
  <c r="I14" i="1"/>
  <c r="I15" i="1"/>
  <c r="I16" i="1"/>
  <c r="I17" i="1"/>
  <c r="I18" i="1"/>
  <c r="I19" i="1"/>
  <c r="F20" i="1" l="1"/>
  <c r="F37" i="1"/>
  <c r="F46" i="1"/>
  <c r="F56" i="1"/>
  <c r="F63" i="1"/>
  <c r="A63" i="1"/>
  <c r="A56" i="1"/>
  <c r="A49" i="1"/>
  <c r="A39" i="1"/>
  <c r="A29" i="1"/>
  <c r="A13" i="1"/>
  <c r="H6" i="1"/>
  <c r="G6" i="1"/>
  <c r="H5" i="1"/>
  <c r="G5" i="1"/>
  <c r="I6" i="1" l="1"/>
  <c r="I5" i="1"/>
  <c r="I61" i="1"/>
  <c r="I44" i="1"/>
  <c r="D12" i="1"/>
  <c r="D11" i="1"/>
  <c r="D10" i="1"/>
  <c r="D9" i="1"/>
  <c r="D8" i="1"/>
  <c r="D7" i="1"/>
  <c r="D6" i="1"/>
  <c r="D5" i="1"/>
  <c r="I36" i="1"/>
  <c r="I45" i="1"/>
  <c r="I43" i="1"/>
  <c r="I40" i="1"/>
  <c r="D46" i="1"/>
  <c r="D45" i="1"/>
  <c r="D44" i="1"/>
  <c r="D47" i="1"/>
  <c r="D43" i="1"/>
  <c r="D48" i="1"/>
  <c r="D42" i="1"/>
  <c r="I51" i="1"/>
  <c r="I24" i="1"/>
  <c r="I34" i="1"/>
  <c r="I32" i="1"/>
  <c r="I31" i="1"/>
  <c r="I23" i="1"/>
  <c r="I35" i="1"/>
  <c r="I25" i="1"/>
  <c r="I33" i="1"/>
  <c r="I11" i="1"/>
  <c r="I20" i="1" s="1"/>
  <c r="I62" i="1"/>
  <c r="I60" i="1"/>
  <c r="I59" i="1"/>
  <c r="D38" i="1"/>
  <c r="D34" i="1"/>
  <c r="D37" i="1"/>
  <c r="D36" i="1"/>
  <c r="D35" i="1"/>
  <c r="D33" i="1"/>
  <c r="D32" i="1"/>
  <c r="I49" i="1"/>
  <c r="I52" i="1"/>
  <c r="I55" i="1"/>
  <c r="I54" i="1"/>
  <c r="I53" i="1"/>
  <c r="I50" i="1"/>
  <c r="D62" i="1"/>
  <c r="D61" i="1"/>
  <c r="D60" i="1"/>
  <c r="D59" i="1"/>
  <c r="D53" i="1"/>
  <c r="D54" i="1"/>
  <c r="D55" i="1"/>
  <c r="D52" i="1"/>
  <c r="D63" i="1" l="1"/>
  <c r="I63" i="1"/>
  <c r="D49" i="1"/>
  <c r="I56" i="1"/>
  <c r="D39" i="1"/>
  <c r="D13" i="1"/>
  <c r="I37" i="1"/>
  <c r="D56" i="1"/>
  <c r="I46" i="1"/>
  <c r="H7" i="1"/>
  <c r="G7" i="1" l="1"/>
  <c r="I7" i="1" s="1"/>
</calcChain>
</file>

<file path=xl/sharedStrings.xml><?xml version="1.0" encoding="utf-8"?>
<sst xmlns="http://schemas.openxmlformats.org/spreadsheetml/2006/main" count="856" uniqueCount="115">
  <si>
    <t>Music</t>
  </si>
  <si>
    <t>Postage</t>
  </si>
  <si>
    <t>Actual</t>
  </si>
  <si>
    <t>INCOME</t>
  </si>
  <si>
    <t>Total Income</t>
  </si>
  <si>
    <t>Total Expenses</t>
  </si>
  <si>
    <t>NET</t>
  </si>
  <si>
    <t>Interest Income</t>
  </si>
  <si>
    <t>Dividends</t>
  </si>
  <si>
    <t>Clothing</t>
  </si>
  <si>
    <t>Groceries</t>
  </si>
  <si>
    <t>Gifts Given</t>
  </si>
  <si>
    <t>Gifts Received</t>
  </si>
  <si>
    <t>Wages &amp; Tips</t>
  </si>
  <si>
    <t>MISCELLANEOUS</t>
  </si>
  <si>
    <t>HOME EXPENSES</t>
  </si>
  <si>
    <t>Electricity</t>
  </si>
  <si>
    <t>Internet</t>
  </si>
  <si>
    <t>Other</t>
  </si>
  <si>
    <t>Improvements</t>
  </si>
  <si>
    <t>Phone</t>
  </si>
  <si>
    <t>TRANSPORTATION</t>
  </si>
  <si>
    <t>Vehicle Payments</t>
  </si>
  <si>
    <t>Fuel</t>
  </si>
  <si>
    <t>Repairs</t>
  </si>
  <si>
    <t>HEALTH</t>
  </si>
  <si>
    <t>Doctor/Dentist</t>
  </si>
  <si>
    <t>Medicine/Drugs</t>
  </si>
  <si>
    <t>Health Club Dues</t>
  </si>
  <si>
    <t>ENTERTAINMENT</t>
  </si>
  <si>
    <t>Books</t>
  </si>
  <si>
    <t>Newspaper</t>
  </si>
  <si>
    <t>Magazines</t>
  </si>
  <si>
    <t>Rentals</t>
  </si>
  <si>
    <t>Outdoor Recreation</t>
  </si>
  <si>
    <t>Hobbies</t>
  </si>
  <si>
    <t>Sports</t>
  </si>
  <si>
    <t>SUBSCRIPTIONS</t>
  </si>
  <si>
    <t>DAILY LIVING</t>
  </si>
  <si>
    <t>Personal Supplies</t>
  </si>
  <si>
    <t>Charitable Donations</t>
  </si>
  <si>
    <t>Religious Donations</t>
  </si>
  <si>
    <t>Bank Fees</t>
  </si>
  <si>
    <t>Emergency Fund</t>
  </si>
  <si>
    <t>Transfer to Savings</t>
  </si>
  <si>
    <t>Investments</t>
  </si>
  <si>
    <t>SAVINGS</t>
  </si>
  <si>
    <t>Retirement (401k, IRA)</t>
  </si>
  <si>
    <t>OBLIGATIONS</t>
  </si>
  <si>
    <t>Student Loan</t>
  </si>
  <si>
    <t>Other Loan</t>
  </si>
  <si>
    <t>Federal Taxes</t>
  </si>
  <si>
    <t>State/Local Taxes</t>
  </si>
  <si>
    <t>Bus/Taxi/Train Fare</t>
  </si>
  <si>
    <t>Registration/License</t>
  </si>
  <si>
    <t>Lawn/Garden</t>
  </si>
  <si>
    <t>Furnishings/Appliances</t>
  </si>
  <si>
    <t>Cable/Satellite</t>
  </si>
  <si>
    <t>Water/Sewer/Trash</t>
  </si>
  <si>
    <t>Gas/Oil</t>
  </si>
  <si>
    <t>Mortgage/Rent</t>
  </si>
  <si>
    <t>Dining/Eating Out</t>
  </si>
  <si>
    <t>Salon/Barber</t>
  </si>
  <si>
    <t>Movies/Theater</t>
  </si>
  <si>
    <t>Videos/DVDs</t>
  </si>
  <si>
    <t>Concerts/Plays</t>
  </si>
  <si>
    <t>Film/Photos</t>
  </si>
  <si>
    <t>Games</t>
  </si>
  <si>
    <t>Toys/Gadgets</t>
  </si>
  <si>
    <t>CHARITY/GIFTS</t>
  </si>
  <si>
    <t>Difference</t>
  </si>
  <si>
    <t>Transfer from Savings</t>
  </si>
  <si>
    <t>Alimony/Child Support</t>
  </si>
  <si>
    <t>[42]</t>
  </si>
  <si>
    <t>Budget</t>
  </si>
  <si>
    <t>Refunds/Reimbursements</t>
  </si>
  <si>
    <t>BUDGET SUMMARY</t>
  </si>
  <si>
    <t>HELP</t>
  </si>
  <si>
    <t>The purpose of this template is to help you define a monthly budget and compare your budget to your actual income and expenses.</t>
  </si>
  <si>
    <t>The cells in the Difference column use conditional formatting to make negative numbers red. If you spend more than you budgeted, the Difference between the Projected and Actual values will be negative, and if your Actual income is less than your Projected income, the Difference will be a negative number.</t>
  </si>
  <si>
    <t>The Monthly Budget Summary table totals up all your income and expenses and calculates the Net as Income minus Expenses. If your Net is negative, that means you have overspent your monthly budget.</t>
  </si>
  <si>
    <t>Intro</t>
  </si>
  <si>
    <t>Difference Column</t>
  </si>
  <si>
    <t>Budget Summary</t>
  </si>
  <si>
    <t>Step 1</t>
  </si>
  <si>
    <t>Update Budget Categories</t>
  </si>
  <si>
    <t>This worksheet uses a separate Excel Table for each major Budget category. This allows you to insert and delete sub-categories easily.</t>
  </si>
  <si>
    <t>Step 2</t>
  </si>
  <si>
    <t>You can modify the sub-categories within each table, but if you remove an entire major category, then you will need to modify the formulas in the Budget Summary table.</t>
  </si>
  <si>
    <t>Enter Budget Amounts</t>
  </si>
  <si>
    <t>If you are not sure how to set up your budget, read the article "How to Make a Budget with a Spreadsheet" listed below.</t>
  </si>
  <si>
    <t>Enter values in the Budget column within each table.</t>
  </si>
  <si>
    <t>Step 3</t>
  </si>
  <si>
    <t>Enter Actual Amounts</t>
  </si>
  <si>
    <t>You can either update the worksheet throughout the month, or wait until the end of the month to enter the actual income and expenses.</t>
  </si>
  <si>
    <t>Taking the Next Step</t>
  </si>
  <si>
    <t>This worksheet is a simple way to create a monthly budget, but when you are ready to move on to a more advanced budgeting tool, try our Money Management Template listed below.</t>
  </si>
  <si>
    <t>Personal Monthly Budget</t>
  </si>
  <si>
    <t>Home/Rental Insurance</t>
  </si>
  <si>
    <t>Maintenance/Supplies</t>
  </si>
  <si>
    <t>Auto Insurance</t>
  </si>
  <si>
    <t>Health Insurance</t>
  </si>
  <si>
    <t>Life Insurance</t>
  </si>
  <si>
    <t>Veterinarian/Pet Care</t>
  </si>
  <si>
    <t>Dues/Memberships</t>
  </si>
  <si>
    <t>Cleaning</t>
  </si>
  <si>
    <t>Education/Lessons</t>
  </si>
  <si>
    <t>Pet Food</t>
  </si>
  <si>
    <t>Vacation/Travel</t>
  </si>
  <si>
    <t>Education</t>
  </si>
  <si>
    <t>Credit Cards</t>
  </si>
  <si>
    <t>Travel</t>
  </si>
  <si>
    <t>NC Financial Group - Personal Monthly Budget</t>
  </si>
  <si>
    <t>0.00</t>
  </si>
  <si>
    <t xml:space="preserve">See Month  tabs below, rename w Month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</si>
</sst>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43" formatCode="_(* #,##0.00_);_(* \(#,##0.00\);_(* &quot;-&quot;??_);_(@_)"/>
  </numFmts>
  <fonts count="28" x14ac:knownFonts="1">
    <font>
      <sz val="11"/>
      <name val="Arial"/>
      <family val="2"/>
    </font>
    <font>
      <sz val="10"/>
      <name val="Arial"/>
      <family val="2"/>
    </font>
    <font>
      <u/>
      <sz val="10"/>
      <color indexed="12"/>
      <name val="Arial"/>
      <family val="2"/>
    </font>
    <font>
      <sz val="10"/>
      <name val="Trebuchet MS"/>
      <family val="2"/>
      <scheme val="minor"/>
    </font>
    <font>
      <u/>
      <sz val="8"/>
      <color indexed="12"/>
      <name val="Trebuchet MS"/>
      <family val="2"/>
      <scheme val="minor"/>
    </font>
    <font>
      <sz val="8"/>
      <name val="Trebuchet MS"/>
      <family val="2"/>
      <scheme val="minor"/>
    </font>
    <font>
      <b/>
      <sz val="8"/>
      <name val="Trebuchet MS"/>
      <family val="2"/>
      <scheme val="minor"/>
    </font>
    <font>
      <b/>
      <sz val="10"/>
      <name val="Trebuchet MS"/>
      <family val="2"/>
      <scheme val="minor"/>
    </font>
    <font>
      <b/>
      <sz val="11"/>
      <name val="Trebuchet MS"/>
      <family val="2"/>
      <scheme val="minor"/>
    </font>
    <font>
      <sz val="10"/>
      <color theme="0"/>
      <name val="Trebuchet MS"/>
      <family val="2"/>
      <scheme val="minor"/>
    </font>
    <font>
      <b/>
      <sz val="10"/>
      <name val="Arial"/>
      <family val="2"/>
      <scheme val="major"/>
    </font>
    <font>
      <sz val="9"/>
      <name val="Arial"/>
      <family val="2"/>
      <scheme val="major"/>
    </font>
    <font>
      <sz val="6"/>
      <color theme="0"/>
      <name val="Trebuchet MS"/>
      <family val="2"/>
      <scheme val="minor"/>
    </font>
    <font>
      <b/>
      <sz val="11"/>
      <color theme="1"/>
      <name val="Trebuchet MS"/>
      <family val="2"/>
      <scheme val="minor"/>
    </font>
    <font>
      <b/>
      <sz val="10"/>
      <color theme="0"/>
      <name val="Arial"/>
      <family val="2"/>
      <scheme val="major"/>
    </font>
    <font>
      <b/>
      <sz val="9"/>
      <color theme="1"/>
      <name val="Trebuchet MS"/>
      <family val="2"/>
      <scheme val="minor"/>
    </font>
    <font>
      <sz val="18"/>
      <color theme="4"/>
      <name val="Trebuchet MS"/>
      <family val="2"/>
      <scheme val="minor"/>
    </font>
    <font>
      <sz val="18"/>
      <name val="Arial"/>
      <family val="2"/>
    </font>
    <font>
      <sz val="9"/>
      <color theme="0" tint="-0.499984740745262"/>
      <name val="Arial"/>
      <family val="2"/>
    </font>
    <font>
      <sz val="11"/>
      <name val="Arial"/>
      <family val="2"/>
    </font>
    <font>
      <u/>
      <sz val="11"/>
      <color indexed="12"/>
      <name val="Arial"/>
      <family val="2"/>
    </font>
    <font>
      <b/>
      <sz val="12"/>
      <color indexed="9"/>
      <name val="Calibri"/>
      <family val="2"/>
    </font>
    <font>
      <sz val="11"/>
      <color theme="1" tint="0.34998626667073579"/>
      <name val="Calibri"/>
      <family val="2"/>
    </font>
    <font>
      <b/>
      <sz val="11"/>
      <name val="Arial"/>
      <family val="2"/>
    </font>
    <font>
      <sz val="18"/>
      <color theme="1"/>
      <name val="Arial"/>
      <family val="2"/>
    </font>
    <font>
      <sz val="12"/>
      <name val="Arial"/>
      <family val="2"/>
    </font>
    <font>
      <b/>
      <sz val="12"/>
      <name val="Arial"/>
      <family val="2"/>
    </font>
    <font>
      <u/>
      <sz val="12"/>
      <color indexed="12"/>
      <name val="Arial"/>
      <family val="2"/>
    </font>
  </fonts>
  <fills count="6">
    <fill>
      <patternFill patternType="none"/>
    </fill>
    <fill>
      <patternFill patternType="gray125"/>
    </fill>
    <fill>
      <patternFill patternType="solid">
        <fgColor theme="1"/>
        <bgColor theme="1"/>
      </patternFill>
    </fill>
    <fill>
      <patternFill patternType="solid">
        <fgColor theme="0" tint="-4.9989318521683403E-2"/>
        <bgColor indexed="64"/>
      </patternFill>
    </fill>
    <fill>
      <patternFill patternType="solid">
        <fgColor indexed="55"/>
        <bgColor indexed="64"/>
      </patternFill>
    </fill>
    <fill>
      <patternFill patternType="solid">
        <fgColor theme="0" tint="-0.14999847407452621"/>
        <bgColor indexed="64"/>
      </patternFill>
    </fill>
  </fills>
  <borders count="5">
    <border>
      <left/>
      <right/>
      <top/>
      <bottom/>
      <diagonal/>
    </border>
    <border>
      <left style="thin">
        <color indexed="55"/>
      </left>
      <right style="thin">
        <color indexed="55"/>
      </right>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right/>
      <top style="double">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64">
    <xf numFmtId="0" fontId="0" fillId="0" borderId="0" xfId="0"/>
    <xf numFmtId="0" fontId="3" fillId="0" borderId="0" xfId="0" applyFont="1"/>
    <xf numFmtId="0" fontId="5" fillId="0" borderId="0" xfId="0" applyFont="1"/>
    <xf numFmtId="0" fontId="6" fillId="0" borderId="0" xfId="0" applyFont="1" applyAlignment="1">
      <alignment horizontal="right"/>
    </xf>
    <xf numFmtId="0" fontId="3" fillId="0" borderId="0" xfId="0" applyFont="1" applyFill="1" applyBorder="1"/>
    <xf numFmtId="0" fontId="7" fillId="0" borderId="0" xfId="0" applyFont="1"/>
    <xf numFmtId="0" fontId="3" fillId="0" borderId="0" xfId="0" applyFont="1" applyAlignment="1"/>
    <xf numFmtId="0" fontId="3" fillId="0" borderId="0" xfId="0" applyFont="1" applyAlignment="1">
      <alignment horizontal="left"/>
    </xf>
    <xf numFmtId="0" fontId="3" fillId="0" borderId="0" xfId="0" applyFont="1" applyFill="1"/>
    <xf numFmtId="43" fontId="3" fillId="0" borderId="0" xfId="1" applyNumberFormat="1" applyFont="1" applyFill="1" applyBorder="1"/>
    <xf numFmtId="0" fontId="5" fillId="0" borderId="0" xfId="0" applyFont="1" applyFill="1"/>
    <xf numFmtId="43" fontId="3" fillId="0" borderId="0" xfId="0" applyNumberFormat="1" applyFont="1" applyFill="1" applyBorder="1"/>
    <xf numFmtId="0" fontId="3" fillId="0" borderId="0" xfId="0" applyFont="1" applyFill="1" applyAlignment="1"/>
    <xf numFmtId="0" fontId="3" fillId="0" borderId="0" xfId="0" applyFont="1" applyFill="1" applyAlignment="1">
      <alignment horizontal="left"/>
    </xf>
    <xf numFmtId="0" fontId="3" fillId="0" borderId="0" xfId="0" applyFont="1" applyFill="1" applyAlignment="1">
      <alignment horizontal="right"/>
    </xf>
    <xf numFmtId="0" fontId="9" fillId="0" borderId="0" xfId="0" applyFont="1" applyFill="1"/>
    <xf numFmtId="0" fontId="12" fillId="0" borderId="0" xfId="0" applyFont="1" applyFill="1" applyAlignment="1">
      <alignment horizontal="left"/>
    </xf>
    <xf numFmtId="0" fontId="10" fillId="0" borderId="0" xfId="0" applyFont="1" applyFill="1" applyBorder="1"/>
    <xf numFmtId="43" fontId="11" fillId="0" borderId="0" xfId="0" applyNumberFormat="1" applyFont="1" applyFill="1" applyBorder="1" applyAlignment="1">
      <alignment horizontal="center"/>
    </xf>
    <xf numFmtId="0" fontId="11" fillId="0" borderId="0" xfId="0" applyFont="1" applyFill="1" applyBorder="1" applyAlignment="1">
      <alignment horizontal="center"/>
    </xf>
    <xf numFmtId="0" fontId="3" fillId="0" borderId="0" xfId="0" applyFont="1" applyFill="1" applyBorder="1" applyAlignment="1">
      <alignment horizontal="right" indent="1"/>
    </xf>
    <xf numFmtId="0" fontId="14" fillId="2" borderId="0" xfId="0" applyFont="1" applyFill="1" applyBorder="1"/>
    <xf numFmtId="0" fontId="14" fillId="2" borderId="0" xfId="0" applyFont="1" applyFill="1" applyBorder="1" applyAlignment="1">
      <alignment horizontal="center"/>
    </xf>
    <xf numFmtId="0" fontId="13" fillId="0" borderId="0" xfId="0" applyFont="1" applyBorder="1" applyAlignment="1">
      <alignment horizontal="right" vertical="center"/>
    </xf>
    <xf numFmtId="0" fontId="13" fillId="3" borderId="4" xfId="0" applyFont="1" applyFill="1" applyBorder="1" applyAlignment="1">
      <alignment horizontal="right" vertical="center"/>
    </xf>
    <xf numFmtId="0" fontId="4" fillId="0" borderId="0" xfId="3" applyFont="1" applyFill="1" applyBorder="1" applyAlignment="1" applyProtection="1">
      <alignment horizontal="left"/>
    </xf>
    <xf numFmtId="0" fontId="5" fillId="0" borderId="0" xfId="0" applyFont="1" applyFill="1" applyBorder="1"/>
    <xf numFmtId="0" fontId="4" fillId="0" borderId="0" xfId="3" applyFont="1" applyFill="1" applyBorder="1" applyAlignment="1" applyProtection="1"/>
    <xf numFmtId="0" fontId="16" fillId="0" borderId="0" xfId="0" applyFont="1" applyFill="1" applyBorder="1" applyAlignment="1">
      <alignment vertical="center"/>
    </xf>
    <xf numFmtId="0" fontId="17" fillId="3" borderId="0" xfId="0" applyFont="1" applyFill="1" applyAlignment="1">
      <alignment vertical="center"/>
    </xf>
    <xf numFmtId="0" fontId="1" fillId="3" borderId="0" xfId="0" applyFont="1" applyFill="1" applyAlignment="1">
      <alignment horizontal="right" vertical="center"/>
    </xf>
    <xf numFmtId="0" fontId="18" fillId="0" borderId="0" xfId="0" applyNumberFormat="1" applyFont="1" applyAlignment="1">
      <alignment horizontal="right" vertical="center"/>
    </xf>
    <xf numFmtId="0" fontId="0" fillId="0" borderId="0" xfId="0" applyFont="1" applyAlignment="1">
      <alignment vertical="top"/>
    </xf>
    <xf numFmtId="0" fontId="8" fillId="0" borderId="0" xfId="0" applyFont="1"/>
    <xf numFmtId="0" fontId="0" fillId="0" borderId="0" xfId="0" applyFont="1" applyAlignment="1">
      <alignment vertical="top" wrapText="1"/>
    </xf>
    <xf numFmtId="0" fontId="0" fillId="4" borderId="0" xfId="0" applyFill="1" applyAlignment="1">
      <alignment horizontal="right" vertical="top"/>
    </xf>
    <xf numFmtId="0" fontId="21" fillId="4" borderId="0" xfId="0" applyFont="1" applyFill="1" applyAlignment="1"/>
    <xf numFmtId="0" fontId="0" fillId="0" borderId="0" xfId="0" applyFont="1"/>
    <xf numFmtId="0" fontId="22" fillId="3" borderId="0" xfId="0" applyFont="1" applyFill="1" applyAlignment="1">
      <alignment horizontal="center"/>
    </xf>
    <xf numFmtId="0" fontId="20" fillId="0" borderId="0" xfId="3" applyFont="1" applyAlignment="1" applyProtection="1">
      <alignment horizontal="left" indent="1"/>
    </xf>
    <xf numFmtId="0" fontId="19" fillId="0" borderId="0" xfId="0" applyFont="1"/>
    <xf numFmtId="0" fontId="23" fillId="5" borderId="0" xfId="0" applyFont="1" applyFill="1"/>
    <xf numFmtId="0" fontId="23" fillId="5" borderId="0" xfId="0" applyFont="1" applyFill="1" applyAlignment="1">
      <alignment vertical="top" wrapText="1"/>
    </xf>
    <xf numFmtId="0" fontId="2" fillId="0" borderId="0" xfId="3" applyAlignment="1" applyProtection="1">
      <alignment horizontal="left" vertical="top"/>
    </xf>
    <xf numFmtId="0" fontId="24" fillId="3" borderId="0" xfId="0" applyFont="1" applyFill="1" applyAlignment="1">
      <alignment horizontal="left" vertical="center" indent="1"/>
    </xf>
    <xf numFmtId="0" fontId="1" fillId="0" borderId="0" xfId="0" applyFont="1"/>
    <xf numFmtId="0" fontId="25" fillId="0" borderId="0" xfId="0" applyFont="1" applyAlignment="1">
      <alignment horizontal="left" wrapText="1" indent="1"/>
    </xf>
    <xf numFmtId="0" fontId="26" fillId="0" borderId="0" xfId="0" applyFont="1" applyAlignment="1">
      <alignment horizontal="left" wrapText="1" indent="1"/>
    </xf>
    <xf numFmtId="0" fontId="25" fillId="0" borderId="0" xfId="0" applyFont="1" applyAlignment="1">
      <alignment horizontal="left" indent="1"/>
    </xf>
    <xf numFmtId="0" fontId="2" fillId="0" borderId="0" xfId="3" applyAlignment="1" applyProtection="1">
      <alignment horizontal="left" wrapText="1" indent="1"/>
    </xf>
    <xf numFmtId="0" fontId="2" fillId="0" borderId="0" xfId="3" applyFill="1" applyBorder="1" applyAlignment="1" applyProtection="1"/>
    <xf numFmtId="0" fontId="27" fillId="0" borderId="0" xfId="3" applyFont="1" applyAlignment="1" applyProtection="1">
      <alignment horizontal="left" wrapText="1" indent="1"/>
    </xf>
    <xf numFmtId="0" fontId="13" fillId="0" borderId="0" xfId="0" applyFont="1" applyAlignment="1">
      <alignment horizontal="left" wrapText="1" indent="1"/>
    </xf>
    <xf numFmtId="4" fontId="3" fillId="0" borderId="1" xfId="1" applyNumberFormat="1" applyFont="1" applyFill="1" applyBorder="1" applyAlignment="1">
      <alignment horizontal="center"/>
    </xf>
    <xf numFmtId="4" fontId="3" fillId="0" borderId="2" xfId="1" applyNumberFormat="1" applyFont="1" applyFill="1" applyBorder="1" applyAlignment="1">
      <alignment horizontal="center"/>
    </xf>
    <xf numFmtId="4" fontId="3" fillId="0" borderId="0" xfId="0" applyNumberFormat="1" applyFont="1" applyFill="1" applyBorder="1" applyAlignment="1">
      <alignment horizontal="center"/>
    </xf>
    <xf numFmtId="43" fontId="3" fillId="0" borderId="0" xfId="1" applyNumberFormat="1" applyFont="1" applyFill="1" applyBorder="1" applyAlignment="1">
      <alignment horizontal="center"/>
    </xf>
    <xf numFmtId="4" fontId="3" fillId="0" borderId="3" xfId="1" applyNumberFormat="1" applyFont="1" applyFill="1" applyBorder="1" applyAlignment="1">
      <alignment horizontal="center"/>
    </xf>
    <xf numFmtId="43" fontId="3" fillId="0" borderId="0" xfId="0" applyNumberFormat="1" applyFont="1" applyFill="1" applyBorder="1" applyAlignment="1">
      <alignment horizontal="center"/>
    </xf>
    <xf numFmtId="43" fontId="3" fillId="0" borderId="0" xfId="1" applyNumberFormat="1" applyFont="1" applyFill="1" applyBorder="1" applyAlignment="1">
      <alignment horizontal="left"/>
    </xf>
    <xf numFmtId="43" fontId="3" fillId="0" borderId="0" xfId="0" applyNumberFormat="1" applyFont="1" applyFill="1" applyBorder="1" applyAlignment="1">
      <alignment horizontal="left"/>
    </xf>
    <xf numFmtId="40" fontId="15" fillId="0" borderId="0" xfId="2" applyNumberFormat="1" applyFont="1" applyBorder="1" applyAlignment="1">
      <alignment horizontal="center" vertical="center"/>
    </xf>
    <xf numFmtId="40" fontId="15" fillId="3" borderId="4" xfId="2" applyNumberFormat="1" applyFont="1" applyFill="1" applyBorder="1" applyAlignment="1">
      <alignment horizontal="center" vertical="center"/>
    </xf>
    <xf numFmtId="0" fontId="5" fillId="0" borderId="0" xfId="0" applyFont="1" applyFill="1" applyBorder="1" applyAlignment="1">
      <alignment horizontal="right"/>
    </xf>
  </cellXfs>
  <cellStyles count="4">
    <cellStyle name="Comma" xfId="1" builtinId="3"/>
    <cellStyle name="Currency" xfId="2" builtinId="4"/>
    <cellStyle name="Hyperlink" xfId="3" builtinId="8"/>
    <cellStyle name="Normal" xfId="0" builtinId="0" customBuiltin="1"/>
  </cellStyles>
  <dxfs count="791">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border outline="0">
        <bottom style="medium">
          <color rgb="FF666666"/>
        </bottom>
      </border>
    </dxf>
    <dxf>
      <border outline="0">
        <top style="thin">
          <color rgb="FFB2B2B2"/>
        </top>
      </border>
    </dxf>
    <dxf>
      <font>
        <strike val="0"/>
        <outline val="0"/>
        <shadow val="0"/>
        <u val="none"/>
        <vertAlign val="baseline"/>
        <color auto="1"/>
        <name val="Trebuchet MS"/>
        <scheme val="none"/>
      </font>
      <fill>
        <patternFill patternType="none">
          <fgColor rgb="FF000000"/>
          <bgColor auto="1"/>
        </patternFill>
      </fill>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border outline="0">
        <bottom style="medium">
          <color rgb="FF666666"/>
        </bottom>
      </border>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indexed="65"/>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border outline="0">
        <bottom style="medium">
          <color rgb="FF666666"/>
        </bottom>
      </border>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indexed="65"/>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border outline="0">
        <bottom style="medium">
          <color rgb="FF666666"/>
        </bottom>
      </border>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border outline="0">
        <bottom style="medium">
          <color rgb="FF666666"/>
        </bottom>
      </border>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border outline="0">
        <bottom style="medium">
          <color rgb="FF666666"/>
        </bottom>
      </border>
    </dxf>
    <dxf>
      <font>
        <strike val="0"/>
        <outline val="0"/>
        <shadow val="0"/>
        <u val="none"/>
        <vertAlign val="baseline"/>
        <color auto="1"/>
        <name val="Trebuchet MS"/>
        <scheme val="none"/>
      </font>
      <fill>
        <patternFill patternType="none">
          <fgColor rgb="FF000000"/>
          <bgColor auto="1"/>
        </patternFill>
      </fill>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border outline="0">
        <bottom style="medium">
          <color rgb="FF666666"/>
        </bottom>
      </border>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border outline="0">
        <bottom style="medium">
          <color rgb="FF666666"/>
        </bottom>
      </border>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border outline="0">
        <bottom style="medium">
          <color rgb="FF666666"/>
        </bottom>
      </border>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border outline="0">
        <left style="thin">
          <color indexed="55"/>
        </left>
      </border>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border outline="0">
        <right style="thin">
          <color indexed="55"/>
        </right>
      </border>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border outline="0">
        <bottom style="medium">
          <color rgb="FF666666"/>
        </bottom>
      </border>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border diagonalUp="0" diagonalDown="0" outline="0">
        <left/>
        <right/>
        <top/>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border outline="0">
        <bottom style="medium">
          <color rgb="FF666666"/>
        </bottom>
      </border>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font>
        <strike val="0"/>
        <outline val="0"/>
        <shadow val="0"/>
        <u val="none"/>
        <vertAlign val="baseline"/>
        <color auto="1"/>
        <name val="Arial"/>
        <scheme val="major"/>
      </font>
      <fill>
        <patternFill patternType="none">
          <fgColor indexed="64"/>
          <bgColor auto="1"/>
        </patternFill>
      </fill>
    </dxf>
    <dxf>
      <font>
        <condense val="0"/>
        <extend val="0"/>
        <color indexed="10"/>
      </font>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outline="0">
        <top style="thin">
          <color rgb="FFB2B2B2"/>
        </top>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strike val="0"/>
        <outline val="0"/>
        <shadow val="0"/>
        <u val="none"/>
        <vertAlign val="baseline"/>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strike val="0"/>
        <outline val="0"/>
        <shadow val="0"/>
        <u val="none"/>
        <vertAlign val="baseline"/>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border outline="0">
        <left style="thin">
          <color indexed="55"/>
        </left>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border outline="0">
        <right style="thin">
          <color indexed="55"/>
        </right>
      </border>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condense val="0"/>
        <extend val="0"/>
        <color indexed="10"/>
      </font>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outline="0">
        <top style="thin">
          <color rgb="FFB2B2B2"/>
        </top>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strike val="0"/>
        <outline val="0"/>
        <shadow val="0"/>
        <u val="none"/>
        <vertAlign val="baseline"/>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strike val="0"/>
        <outline val="0"/>
        <shadow val="0"/>
        <u val="none"/>
        <vertAlign val="baseline"/>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border outline="0">
        <left style="thin">
          <color indexed="55"/>
        </left>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border outline="0">
        <right style="thin">
          <color indexed="55"/>
        </right>
      </border>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condense val="0"/>
        <extend val="0"/>
        <color indexed="10"/>
      </font>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outline="0">
        <top style="thin">
          <color rgb="FFB2B2B2"/>
        </top>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strike val="0"/>
        <outline val="0"/>
        <shadow val="0"/>
        <u val="none"/>
        <vertAlign val="baseline"/>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strike val="0"/>
        <outline val="0"/>
        <shadow val="0"/>
        <u val="none"/>
        <vertAlign val="baseline"/>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border outline="0">
        <left style="thin">
          <color indexed="55"/>
        </left>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border outline="0">
        <right style="thin">
          <color indexed="55"/>
        </right>
      </border>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condense val="0"/>
        <extend val="0"/>
        <color indexed="10"/>
      </font>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outline="0">
        <top style="thin">
          <color indexed="55"/>
        </top>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strike val="0"/>
        <outline val="0"/>
        <shadow val="0"/>
        <u val="none"/>
        <vertAlign val="baseline"/>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strike val="0"/>
        <outline val="0"/>
        <shadow val="0"/>
        <u val="none"/>
        <vertAlign val="baseline"/>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border outline="0">
        <left style="thin">
          <color indexed="55"/>
        </left>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border outline="0">
        <right style="thin">
          <color indexed="55"/>
        </right>
      </border>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condense val="0"/>
        <extend val="0"/>
        <color indexed="10"/>
      </font>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outline="0">
        <top style="thin">
          <color rgb="FFB2B2B2"/>
        </top>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strike val="0"/>
        <outline val="0"/>
        <shadow val="0"/>
        <u val="none"/>
        <vertAlign val="baseline"/>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strike val="0"/>
        <outline val="0"/>
        <shadow val="0"/>
        <u val="none"/>
        <vertAlign val="baseline"/>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alignment horizontal="center" vertical="bottom" textRotation="0" wrapText="0" indent="0" justifyLastLine="0" shrinkToFit="0" readingOrder="0"/>
      <border outline="0">
        <left style="thin">
          <color indexed="55"/>
        </left>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border outline="0">
        <right style="thin">
          <color indexed="55"/>
        </right>
      </border>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border diagonalUp="0" diagonalDown="0">
        <left/>
        <right/>
        <top/>
        <bottom/>
      </border>
    </dxf>
    <dxf>
      <font>
        <strike val="0"/>
        <outline val="0"/>
        <shadow val="0"/>
        <u val="none"/>
        <vertAlign val="baseline"/>
        <color auto="1"/>
        <name val="Trebuchet MS"/>
        <scheme val="none"/>
      </font>
      <fill>
        <patternFill patternType="none">
          <fgColor rgb="FF000000"/>
          <bgColor auto="1"/>
        </patternFill>
      </fill>
    </dxf>
    <dxf>
      <border outline="0">
        <bottom style="medium">
          <color rgb="FF666666"/>
        </bottom>
      </border>
    </dxf>
    <dxf>
      <font>
        <strike val="0"/>
        <outline val="0"/>
        <shadow val="0"/>
        <u val="none"/>
        <vertAlign val="baseline"/>
        <color auto="1"/>
        <name val="Arial"/>
        <scheme val="major"/>
      </font>
      <fill>
        <patternFill patternType="none">
          <fgColor indexed="64"/>
          <bgColor auto="1"/>
        </patternFill>
      </fill>
    </dxf>
    <dxf>
      <font>
        <condense val="0"/>
        <extend val="0"/>
        <color indexed="10"/>
      </font>
    </dxf>
    <dxf>
      <fill>
        <patternFill>
          <bgColor theme="0" tint="-4.9989318521683403E-2"/>
        </patternFill>
      </fill>
      <border diagonalUp="0" diagonalDown="0">
        <left/>
        <right/>
        <top/>
        <bottom/>
        <vertical/>
        <horizontal/>
      </border>
    </dxf>
    <dxf>
      <font>
        <b/>
        <color theme="1"/>
      </font>
    </dxf>
    <dxf>
      <font>
        <b/>
        <color theme="1"/>
      </font>
      <fill>
        <patternFill>
          <bgColor theme="0" tint="-4.9989318521683403E-2"/>
        </patternFill>
      </fill>
      <border diagonalUp="0" diagonalDown="0">
        <left/>
        <right/>
        <top style="double">
          <color theme="6"/>
        </top>
        <bottom/>
        <vertical/>
        <horizontal/>
      </border>
    </dxf>
    <dxf>
      <font>
        <b/>
        <color theme="0"/>
      </font>
      <fill>
        <patternFill patternType="solid">
          <fgColor theme="6"/>
          <bgColor theme="6"/>
        </patternFill>
      </fill>
      <border>
        <bottom style="thin">
          <color theme="0" tint="-0.24994659260841701"/>
        </bottom>
      </border>
    </dxf>
    <dxf>
      <font>
        <color theme="1"/>
      </font>
      <border>
        <left/>
        <right/>
        <top/>
        <bottom/>
      </border>
    </dxf>
    <dxf>
      <fill>
        <patternFill>
          <bgColor theme="0" tint="-4.9989318521683403E-2"/>
        </patternFill>
      </fill>
      <border diagonalUp="0" diagonalDown="0">
        <left/>
        <right/>
        <top/>
        <bottom/>
        <vertical/>
        <horizontal/>
      </border>
    </dxf>
    <dxf>
      <font>
        <b/>
        <color theme="1"/>
      </font>
    </dxf>
    <dxf>
      <font>
        <b/>
        <color theme="1"/>
      </font>
      <fill>
        <patternFill>
          <bgColor theme="0" tint="-4.9989318521683403E-2"/>
        </patternFill>
      </fill>
      <border diagonalUp="0" diagonalDown="0">
        <left/>
        <right/>
        <top style="double">
          <color theme="4"/>
        </top>
        <bottom/>
        <vertical/>
        <horizontal/>
      </border>
    </dxf>
    <dxf>
      <font>
        <b/>
        <color theme="0"/>
      </font>
      <fill>
        <patternFill patternType="solid">
          <fgColor auto="1"/>
          <bgColor theme="4"/>
        </patternFill>
      </fill>
      <border>
        <bottom style="thin">
          <color theme="0" tint="-0.24994659260841701"/>
        </bottom>
      </border>
    </dxf>
    <dxf>
      <font>
        <color theme="1"/>
      </font>
      <border>
        <left/>
        <right/>
        <top/>
        <bottom/>
      </border>
    </dxf>
  </dxfs>
  <tableStyles count="2" defaultTableStyle="TableStyleMedium2" defaultPivotStyle="PivotStyleLight16">
    <tableStyle name="V42_ExpenseTable" pivot="0" count="5" xr9:uid="{00000000-0011-0000-FFFF-FFFF00000000}">
      <tableStyleElement type="wholeTable" dxfId="790"/>
      <tableStyleElement type="headerRow" dxfId="789"/>
      <tableStyleElement type="totalRow" dxfId="788"/>
      <tableStyleElement type="firstColumn" dxfId="787"/>
      <tableStyleElement type="lastColumn" dxfId="786"/>
    </tableStyle>
    <tableStyle name="V42_IncomeTable" pivot="0" count="5" xr9:uid="{00000000-0011-0000-FFFF-FFFF01000000}">
      <tableStyleElement type="wholeTable" dxfId="785"/>
      <tableStyleElement type="headerRow" dxfId="784"/>
      <tableStyleElement type="totalRow" dxfId="783"/>
      <tableStyleElement type="firstColumn" dxfId="782"/>
      <tableStyleElement type="lastColumn" dxfId="781"/>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15</xdr:row>
      <xdr:rowOff>0</xdr:rowOff>
    </xdr:from>
    <xdr:to>
      <xdr:col>15</xdr:col>
      <xdr:colOff>412750</xdr:colOff>
      <xdr:row>18</xdr:row>
      <xdr:rowOff>158750</xdr:rowOff>
    </xdr:to>
    <xdr:sp macro="" textlink="">
      <xdr:nvSpPr>
        <xdr:cNvPr id="2" name="sigimg1" descr="https://email15.godaddy.com/optionsSigImg.php?show=1&amp;t=1419265275">
          <a:extLst>
            <a:ext uri="{FF2B5EF4-FFF2-40B4-BE49-F238E27FC236}">
              <a16:creationId xmlns:a16="http://schemas.microsoft.com/office/drawing/2014/main" id="{78A8FEEF-F8F3-4708-B4DB-0FE9F13C4D8F}"/>
            </a:ext>
          </a:extLst>
        </xdr:cNvPr>
        <xdr:cNvSpPr>
          <a:spLocks noChangeAspect="1" noChangeArrowheads="1"/>
        </xdr:cNvSpPr>
      </xdr:nvSpPr>
      <xdr:spPr bwMode="auto">
        <a:xfrm>
          <a:off x="11445240" y="2880360"/>
          <a:ext cx="1098550" cy="7150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0</xdr:rowOff>
    </xdr:from>
    <xdr:to>
      <xdr:col>15</xdr:col>
      <xdr:colOff>412750</xdr:colOff>
      <xdr:row>18</xdr:row>
      <xdr:rowOff>158750</xdr:rowOff>
    </xdr:to>
    <xdr:sp macro="" textlink="">
      <xdr:nvSpPr>
        <xdr:cNvPr id="1027" name="sigimg1" descr="https://email15.godaddy.com/optionsSigImg.php?show=1&amp;t=1419265275">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1436350" y="2762250"/>
          <a:ext cx="1098550" cy="685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0</xdr:colOff>
      <xdr:row>15</xdr:row>
      <xdr:rowOff>0</xdr:rowOff>
    </xdr:from>
    <xdr:to>
      <xdr:col>15</xdr:col>
      <xdr:colOff>412750</xdr:colOff>
      <xdr:row>18</xdr:row>
      <xdr:rowOff>158750</xdr:rowOff>
    </xdr:to>
    <xdr:sp macro="" textlink="">
      <xdr:nvSpPr>
        <xdr:cNvPr id="2" name="sigimg1" descr="https://email15.godaddy.com/optionsSigImg.php?show=1&amp;t=1419265275">
          <a:extLst>
            <a:ext uri="{FF2B5EF4-FFF2-40B4-BE49-F238E27FC236}">
              <a16:creationId xmlns:a16="http://schemas.microsoft.com/office/drawing/2014/main" id="{3DBCB6BA-B998-4670-A2F3-6472A1868DBA}"/>
            </a:ext>
          </a:extLst>
        </xdr:cNvPr>
        <xdr:cNvSpPr>
          <a:spLocks noChangeAspect="1" noChangeArrowheads="1"/>
        </xdr:cNvSpPr>
      </xdr:nvSpPr>
      <xdr:spPr bwMode="auto">
        <a:xfrm>
          <a:off x="11445240" y="2880360"/>
          <a:ext cx="1098550" cy="7150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15</xdr:row>
      <xdr:rowOff>0</xdr:rowOff>
    </xdr:from>
    <xdr:to>
      <xdr:col>15</xdr:col>
      <xdr:colOff>412750</xdr:colOff>
      <xdr:row>18</xdr:row>
      <xdr:rowOff>158750</xdr:rowOff>
    </xdr:to>
    <xdr:sp macro="" textlink="">
      <xdr:nvSpPr>
        <xdr:cNvPr id="2" name="sigimg1" descr="https://email15.godaddy.com/optionsSigImg.php?show=1&amp;t=1419265275">
          <a:extLst>
            <a:ext uri="{FF2B5EF4-FFF2-40B4-BE49-F238E27FC236}">
              <a16:creationId xmlns:a16="http://schemas.microsoft.com/office/drawing/2014/main" id="{55120E2D-A86C-4961-99E9-7A65040C53F9}"/>
            </a:ext>
          </a:extLst>
        </xdr:cNvPr>
        <xdr:cNvSpPr>
          <a:spLocks noChangeAspect="1" noChangeArrowheads="1"/>
        </xdr:cNvSpPr>
      </xdr:nvSpPr>
      <xdr:spPr bwMode="auto">
        <a:xfrm>
          <a:off x="11445240" y="2880360"/>
          <a:ext cx="1098550" cy="7150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0</xdr:colOff>
      <xdr:row>15</xdr:row>
      <xdr:rowOff>0</xdr:rowOff>
    </xdr:from>
    <xdr:to>
      <xdr:col>15</xdr:col>
      <xdr:colOff>412750</xdr:colOff>
      <xdr:row>18</xdr:row>
      <xdr:rowOff>158750</xdr:rowOff>
    </xdr:to>
    <xdr:sp macro="" textlink="">
      <xdr:nvSpPr>
        <xdr:cNvPr id="2" name="sigimg1" descr="https://email15.godaddy.com/optionsSigImg.php?show=1&amp;t=1419265275">
          <a:extLst>
            <a:ext uri="{FF2B5EF4-FFF2-40B4-BE49-F238E27FC236}">
              <a16:creationId xmlns:a16="http://schemas.microsoft.com/office/drawing/2014/main" id="{6DCFE050-48BC-442C-BF51-709EC6B8F1FD}"/>
            </a:ext>
          </a:extLst>
        </xdr:cNvPr>
        <xdr:cNvSpPr>
          <a:spLocks noChangeAspect="1" noChangeArrowheads="1"/>
        </xdr:cNvSpPr>
      </xdr:nvSpPr>
      <xdr:spPr bwMode="auto">
        <a:xfrm>
          <a:off x="11445240" y="2880360"/>
          <a:ext cx="1098550" cy="7150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0</xdr:colOff>
      <xdr:row>15</xdr:row>
      <xdr:rowOff>0</xdr:rowOff>
    </xdr:from>
    <xdr:to>
      <xdr:col>15</xdr:col>
      <xdr:colOff>412750</xdr:colOff>
      <xdr:row>18</xdr:row>
      <xdr:rowOff>158750</xdr:rowOff>
    </xdr:to>
    <xdr:sp macro="" textlink="">
      <xdr:nvSpPr>
        <xdr:cNvPr id="2" name="sigimg1" descr="https://email15.godaddy.com/optionsSigImg.php?show=1&amp;t=1419265275">
          <a:extLst>
            <a:ext uri="{FF2B5EF4-FFF2-40B4-BE49-F238E27FC236}">
              <a16:creationId xmlns:a16="http://schemas.microsoft.com/office/drawing/2014/main" id="{0B5286F7-0AE1-4E78-A296-758C20C15100}"/>
            </a:ext>
          </a:extLst>
        </xdr:cNvPr>
        <xdr:cNvSpPr>
          <a:spLocks noChangeAspect="1" noChangeArrowheads="1"/>
        </xdr:cNvSpPr>
      </xdr:nvSpPr>
      <xdr:spPr bwMode="auto">
        <a:xfrm>
          <a:off x="11445240" y="2880360"/>
          <a:ext cx="1098550" cy="7150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4191000</xdr:colOff>
      <xdr:row>0</xdr:row>
      <xdr:rowOff>0</xdr:rowOff>
    </xdr:from>
    <xdr:to>
      <xdr:col>1</xdr:col>
      <xdr:colOff>4191000</xdr:colOff>
      <xdr:row>0</xdr:row>
      <xdr:rowOff>179546</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76800" y="0"/>
          <a:ext cx="1390650" cy="31289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0537B0F-2B8D-49D2-AFB3-3BF51E22CFD6}" name="Table22" displayName="Table22" ref="A4:D13" totalsRowCount="1" headerRowDxfId="779" dataDxfId="777" headerRowBorderDxfId="778" tableBorderDxfId="776">
  <tableColumns count="4">
    <tableColumn id="1" xr3:uid="{6170C4E9-261C-44D0-93CC-F08E163813A3}" name="INCOME" totalsRowFunction="custom" totalsRowDxfId="775">
      <totalsRowFormula>"Total " &amp; Table22[[#Headers],[INCOME]]</totalsRowFormula>
    </tableColumn>
    <tableColumn id="2" xr3:uid="{F1CE6806-F58F-4432-A9AE-505F0E24F099}" name="Budget" totalsRowFunction="custom" dataDxfId="774" totalsRowDxfId="773" dataCellStyle="Comma">
      <totalsRowFormula>SUBTOTAL(9,Table22[Budget])</totalsRowFormula>
    </tableColumn>
    <tableColumn id="3" xr3:uid="{00D94DAA-45AA-40F8-A562-7B91849A8F19}" name="Actual" totalsRowFunction="custom" dataDxfId="772" totalsRowDxfId="771" dataCellStyle="Comma">
      <totalsRowFormula>SUBTOTAL(9,Table22[Actual])</totalsRowFormula>
    </tableColumn>
    <tableColumn id="4" xr3:uid="{67718003-A382-4997-8079-0E40A93B942C}" name="Difference" totalsRowFunction="custom" dataDxfId="770" totalsRowDxfId="769" dataCellStyle="Comma">
      <calculatedColumnFormula>C5-B5</calculatedColumnFormula>
      <totalsRowFormula>SUBTOTAL(9,Table22[Difference])</totalsRowFormula>
    </tableColumn>
  </tableColumns>
  <tableStyleInfo name="V42_IncomeTable" showFirstColumn="0" showLastColumn="1"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87A4973-53EB-4D82-9D62-1C62C6E60289}" name="Table2019" displayName="Table2019" ref="A31:D39" totalsRowCount="1" headerRowDxfId="673" dataDxfId="671" headerRowBorderDxfId="672" tableBorderDxfId="670">
  <tableColumns count="4">
    <tableColumn id="1" xr3:uid="{FA8857E5-23B9-4DDB-9BF6-87BAA9F1669E}" name="TRANSPORTATION" totalsRowFunction="custom" dataDxfId="669" totalsRowDxfId="668">
      <totalsRowFormula>"Total " &amp; Table2019[[#Headers],[TRANSPORTATION]]</totalsRowFormula>
    </tableColumn>
    <tableColumn id="2" xr3:uid="{111FF700-D7E5-43C7-BCF2-9A0F92882D11}" name="Budget" totalsRowFunction="custom" dataDxfId="667" totalsRowDxfId="666" dataCellStyle="Comma">
      <totalsRowFormula>SUBTOTAL(9,Table2019[Budget])</totalsRowFormula>
    </tableColumn>
    <tableColumn id="3" xr3:uid="{96A08179-1683-4815-9844-93C7B78DF685}" name="Actual" totalsRowFunction="custom" dataDxfId="665" totalsRowDxfId="664" dataCellStyle="Comma">
      <totalsRowFormula>SUBTOTAL(9,Table2019[Actual])</totalsRowFormula>
    </tableColumn>
    <tableColumn id="4" xr3:uid="{1FB67140-42E7-4FB1-BF25-C11944512319}" name="Difference" totalsRowFunction="custom" dataDxfId="663" totalsRowDxfId="662" dataCellStyle="Comma">
      <calculatedColumnFormula>B32-C32</calculatedColumnFormula>
      <totalsRowFormula>SUBTOTAL(9,Table2019[Difference])</totalsRowFormula>
    </tableColumn>
  </tableColumns>
  <tableStyleInfo name="V42_ExpenseTable" showFirstColumn="0" showLastColumn="1"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69D5E6C-A144-4D80-BA29-8D207772E2C9}" name="Table2123" displayName="Table2123" ref="A41:D49" totalsRowCount="1" headerRowDxfId="661" dataDxfId="659" headerRowBorderDxfId="660" tableBorderDxfId="658">
  <tableColumns count="4">
    <tableColumn id="1" xr3:uid="{73748544-31C8-453E-8660-696027CDB34D}" name="HEALTH" totalsRowFunction="custom" dataDxfId="657" totalsRowDxfId="656">
      <totalsRowFormula>"Total " &amp; Table2123[[#Headers],[HEALTH]]</totalsRowFormula>
    </tableColumn>
    <tableColumn id="2" xr3:uid="{62E8FE54-8CCD-46DC-9CB9-CB592A0D06A4}" name="Budget" totalsRowFunction="custom" dataDxfId="655" totalsRowDxfId="654" dataCellStyle="Comma">
      <totalsRowFormula>SUBTOTAL(9,Table2123[Budget])</totalsRowFormula>
    </tableColumn>
    <tableColumn id="3" xr3:uid="{E256AB9F-5088-440D-8AA2-DA83B2BDB158}" name="Actual" totalsRowFunction="custom" dataDxfId="653" totalsRowDxfId="652" dataCellStyle="Comma">
      <totalsRowFormula>SUBTOTAL(9,Table2123[Actual])</totalsRowFormula>
    </tableColumn>
    <tableColumn id="4" xr3:uid="{1010AB52-8916-4137-B5E6-28F5C4012AF9}" name="Difference" totalsRowFunction="custom" dataDxfId="651" totalsRowDxfId="650" dataCellStyle="Comma">
      <calculatedColumnFormula>B42-C42</calculatedColumnFormula>
      <totalsRowFormula>SUBTOTAL(9,Table2123[Difference])</totalsRowFormula>
    </tableColumn>
  </tableColumns>
  <tableStyleInfo name="V42_ExpenseTable" showFirstColumn="0" showLastColumn="1"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4:D13" totalsRowCount="1" headerRowDxfId="648" dataDxfId="646" headerRowBorderDxfId="647" tableBorderDxfId="645">
  <tableColumns count="4">
    <tableColumn id="1" xr3:uid="{00000000-0010-0000-0000-000001000000}" name="INCOME" totalsRowFunction="custom" totalsRowDxfId="644">
      <totalsRowFormula>"Total " &amp; Table2[[#Headers],[INCOME]]</totalsRowFormula>
    </tableColumn>
    <tableColumn id="2" xr3:uid="{00000000-0010-0000-0000-000002000000}" name="Budget" totalsRowFunction="custom" dataDxfId="643" totalsRowDxfId="642" dataCellStyle="Comma">
      <totalsRowFormula>SUBTOTAL(9,Table2[Budget])</totalsRowFormula>
    </tableColumn>
    <tableColumn id="3" xr3:uid="{00000000-0010-0000-0000-000003000000}" name="Actual" totalsRowFunction="custom" dataDxfId="641" totalsRowDxfId="640" dataCellStyle="Comma">
      <totalsRowFormula>SUBTOTAL(9,Table2[Actual])</totalsRowFormula>
    </tableColumn>
    <tableColumn id="4" xr3:uid="{00000000-0010-0000-0000-000004000000}" name="Difference" totalsRowFunction="custom" totalsRowDxfId="639" dataCellStyle="Comma">
      <calculatedColumnFormula>C5-B5</calculatedColumnFormula>
      <totalsRowFormula>SUBTOTAL(9,Table2[Difference])</totalsRowFormula>
    </tableColumn>
  </tableColumns>
  <tableStyleInfo name="V42_IncomeTable" showFirstColumn="0" showLastColumn="1"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A15:D29" totalsRowCount="1" headerRowDxfId="638" dataDxfId="636" headerRowBorderDxfId="637" tableBorderDxfId="635">
  <tableColumns count="4">
    <tableColumn id="1" xr3:uid="{00000000-0010-0000-0100-000001000000}" name="HOME EXPENSES" totalsRowFunction="custom" dataDxfId="634" totalsRowDxfId="633">
      <totalsRowFormula>"Total " &amp; Table5[[#Headers],[HOME EXPENSES]]</totalsRowFormula>
    </tableColumn>
    <tableColumn id="2" xr3:uid="{00000000-0010-0000-0100-000002000000}" name="Budget" totalsRowLabel="0.00" dataDxfId="632" totalsRowDxfId="631" dataCellStyle="Comma"/>
    <tableColumn id="3" xr3:uid="{00000000-0010-0000-0100-000003000000}" name="Actual" totalsRowLabel="0.00" dataDxfId="630" totalsRowDxfId="629" dataCellStyle="Comma"/>
    <tableColumn id="4" xr3:uid="{00000000-0010-0000-0100-000004000000}" name="Difference" dataDxfId="628" totalsRowDxfId="627" dataCellStyle="Comma"/>
  </tableColumns>
  <tableStyleInfo name="V42_ExpenseTable" showFirstColumn="0" showLastColumn="1"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F10:I20" totalsRowCount="1" headerRowDxfId="626" dataDxfId="624" headerRowBorderDxfId="625" tableBorderDxfId="623">
  <tableColumns count="4">
    <tableColumn id="1" xr3:uid="{00000000-0010-0000-0200-000001000000}" name="DAILY LIVING" totalsRowFunction="custom" dataDxfId="622" totalsRowDxfId="621">
      <totalsRowFormula>"Total " &amp; Table6[[#Headers],[DAILY LIVING]]</totalsRowFormula>
    </tableColumn>
    <tableColumn id="2" xr3:uid="{00000000-0010-0000-0200-000002000000}" name="Budget" totalsRowFunction="custom" dataDxfId="620" totalsRowDxfId="619" dataCellStyle="Comma">
      <totalsRowFormula>SUBTOTAL(9,Table6[Budget])</totalsRowFormula>
    </tableColumn>
    <tableColumn id="3" xr3:uid="{00000000-0010-0000-0200-000003000000}" name="Actual" totalsRowFunction="custom" dataDxfId="618" totalsRowDxfId="617" dataCellStyle="Comma">
      <totalsRowFormula>SUBTOTAL(9,Table6[Actual])</totalsRowFormula>
    </tableColumn>
    <tableColumn id="4" xr3:uid="{00000000-0010-0000-0200-000004000000}" name="Difference" totalsRowFunction="custom" dataDxfId="616" totalsRowDxfId="615" dataCellStyle="Comma">
      <calculatedColumnFormula>G11-H11</calculatedColumnFormula>
      <totalsRowFormula>SUBTOTAL(9,Table6[Difference])</totalsRowFormula>
    </tableColumn>
  </tableColumns>
  <tableStyleInfo name="V42_ExpenseTable" showFirstColumn="0" showLastColumn="1"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F22:I37" totalsRowCount="1" headerRowDxfId="614" dataDxfId="612" headerRowBorderDxfId="613" tableBorderDxfId="611">
  <tableColumns count="4">
    <tableColumn id="1" xr3:uid="{00000000-0010-0000-0300-000001000000}" name="ENTERTAINMENT" totalsRowFunction="custom" dataDxfId="610" totalsRowDxfId="609">
      <totalsRowFormula>"Total " &amp; Table7[[#Headers],[ENTERTAINMENT]]</totalsRowFormula>
    </tableColumn>
    <tableColumn id="2" xr3:uid="{00000000-0010-0000-0300-000002000000}" name="Budget" totalsRowFunction="custom" dataDxfId="608" totalsRowDxfId="607" dataCellStyle="Comma">
      <totalsRowFormula>SUBTOTAL(9,Table7[Budget])</totalsRowFormula>
    </tableColumn>
    <tableColumn id="3" xr3:uid="{00000000-0010-0000-0300-000003000000}" name="Actual" totalsRowFunction="custom" dataDxfId="606" totalsRowDxfId="605" dataCellStyle="Comma">
      <totalsRowFormula>SUBTOTAL(9,Table7[Actual])</totalsRowFormula>
    </tableColumn>
    <tableColumn id="4" xr3:uid="{00000000-0010-0000-0300-000004000000}" name="Difference" totalsRowFunction="custom" dataDxfId="604" totalsRowDxfId="603" dataCellStyle="Comma">
      <calculatedColumnFormula>G23-H23</calculatedColumnFormula>
      <totalsRowFormula>SUBTOTAL(9,Table7[Difference])</totalsRowFormula>
    </tableColumn>
  </tableColumns>
  <tableStyleInfo name="V42_ExpenseTable" showFirstColumn="0" showLastColumn="1"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F39:I46" totalsRowCount="1" headerRowDxfId="602" dataDxfId="600" headerRowBorderDxfId="601" tableBorderDxfId="599">
  <tableColumns count="4">
    <tableColumn id="1" xr3:uid="{00000000-0010-0000-0400-000001000000}" name="SAVINGS" totalsRowFunction="custom" dataDxfId="598" totalsRowDxfId="597">
      <totalsRowFormula>"Total " &amp; Table8[[#Headers],[SAVINGS]]</totalsRowFormula>
    </tableColumn>
    <tableColumn id="2" xr3:uid="{00000000-0010-0000-0400-000002000000}" name="Budget" totalsRowFunction="custom" dataDxfId="596" totalsRowDxfId="595">
      <totalsRowFormula>SUBTOTAL(9,Table8[Budget])</totalsRowFormula>
    </tableColumn>
    <tableColumn id="3" xr3:uid="{00000000-0010-0000-0400-000003000000}" name="Actual" totalsRowFunction="custom" dataDxfId="594" totalsRowDxfId="593">
      <totalsRowFormula>SUBTOTAL(9,Table8[Actual])</totalsRowFormula>
    </tableColumn>
    <tableColumn id="4" xr3:uid="{00000000-0010-0000-0400-000004000000}" name="Difference" totalsRowFunction="custom" dataDxfId="592" totalsRowDxfId="591" dataCellStyle="Comma">
      <calculatedColumnFormula>G40-H40</calculatedColumnFormula>
      <totalsRowFormula>SUBTOTAL(9,Table8[Difference])</totalsRowFormula>
    </tableColumn>
  </tableColumns>
  <tableStyleInfo name="V42_ExpenseTable" showFirstColumn="0" showLastColumn="1"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e10" displayName="Table10" ref="F48:I56" totalsRowCount="1" headerRowDxfId="590" dataDxfId="588" headerRowBorderDxfId="589">
  <tableColumns count="4">
    <tableColumn id="1" xr3:uid="{00000000-0010-0000-0500-000001000000}" name="OBLIGATIONS" totalsRowFunction="custom" dataDxfId="587" totalsRowDxfId="586">
      <totalsRowFormula>"Total " &amp; Table10[[#Headers],[OBLIGATIONS]]</totalsRowFormula>
    </tableColumn>
    <tableColumn id="2" xr3:uid="{00000000-0010-0000-0500-000002000000}" name="Budget" totalsRowFunction="custom" dataDxfId="585" totalsRowDxfId="584" dataCellStyle="Comma">
      <totalsRowFormula>SUBTOTAL(9,Table10[Budget])</totalsRowFormula>
    </tableColumn>
    <tableColumn id="3" xr3:uid="{00000000-0010-0000-0500-000003000000}" name="Actual" totalsRowFunction="custom" dataDxfId="583" totalsRowDxfId="582" dataCellStyle="Comma">
      <totalsRowFormula>SUBTOTAL(9,Table10[Actual])</totalsRowFormula>
    </tableColumn>
    <tableColumn id="4" xr3:uid="{00000000-0010-0000-0500-000004000000}" name="Difference" totalsRowFunction="custom" dataDxfId="581" totalsRowDxfId="580" dataCellStyle="Comma">
      <calculatedColumnFormula>G49-H49</calculatedColumnFormula>
      <totalsRowFormula>SUBTOTAL(9,Table10[Difference])</totalsRowFormula>
    </tableColumn>
  </tableColumns>
  <tableStyleInfo name="V42_ExpenseTable" showFirstColumn="0" showLastColumn="1"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6000000}" name="Table14" displayName="Table14" ref="F58:I63" totalsRowCount="1" headerRowDxfId="579" dataDxfId="577" headerRowBorderDxfId="578" tableBorderDxfId="576">
  <tableColumns count="4">
    <tableColumn id="1" xr3:uid="{00000000-0010-0000-0600-000001000000}" name="MISCELLANEOUS" totalsRowFunction="custom" dataDxfId="575" totalsRowDxfId="574">
      <totalsRowFormula>"Total " &amp; Table14[[#Headers],[MISCELLANEOUS]]</totalsRowFormula>
    </tableColumn>
    <tableColumn id="2" xr3:uid="{00000000-0010-0000-0600-000002000000}" name="Budget" totalsRowFunction="custom" dataDxfId="573" totalsRowDxfId="572" dataCellStyle="Comma">
      <totalsRowFormula>SUBTOTAL(9,Table14[Budget])</totalsRowFormula>
    </tableColumn>
    <tableColumn id="3" xr3:uid="{00000000-0010-0000-0600-000003000000}" name="Actual" totalsRowFunction="custom" dataDxfId="571" totalsRowDxfId="570" dataCellStyle="Comma">
      <totalsRowFormula>SUBTOTAL(9,Table14[Actual])</totalsRowFormula>
    </tableColumn>
    <tableColumn id="4" xr3:uid="{00000000-0010-0000-0600-000004000000}" name="Difference" totalsRowFunction="custom" dataDxfId="569" totalsRowDxfId="568" dataCellStyle="Comma">
      <calculatedColumnFormula>G59-H59</calculatedColumnFormula>
      <totalsRowFormula>SUBTOTAL(9,Table14[Difference])</totalsRowFormula>
    </tableColumn>
  </tableColumns>
  <tableStyleInfo name="V42_ExpenseTable" showFirstColumn="0" showLastColumn="1"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7000000}" name="Table15" displayName="Table15" ref="A58:D63" totalsRowCount="1" headerRowDxfId="567" dataDxfId="565" headerRowBorderDxfId="566" tableBorderDxfId="564">
  <tableColumns count="4">
    <tableColumn id="1" xr3:uid="{00000000-0010-0000-0700-000001000000}" name="SUBSCRIPTIONS" totalsRowFunction="custom" dataDxfId="563" totalsRowDxfId="562">
      <totalsRowFormula>"Total " &amp; Table15[[#Headers],[SUBSCRIPTIONS]]</totalsRowFormula>
    </tableColumn>
    <tableColumn id="2" xr3:uid="{00000000-0010-0000-0700-000002000000}" name="Budget" totalsRowFunction="custom" dataDxfId="561" totalsRowDxfId="560" dataCellStyle="Comma">
      <totalsRowFormula>SUBTOTAL(9,Table15[Budget])</totalsRowFormula>
    </tableColumn>
    <tableColumn id="3" xr3:uid="{00000000-0010-0000-0700-000003000000}" name="Actual" totalsRowFunction="custom" dataDxfId="559" totalsRowDxfId="558" dataCellStyle="Comma">
      <totalsRowFormula>SUBTOTAL(9,Table15[Actual])</totalsRowFormula>
    </tableColumn>
    <tableColumn id="4" xr3:uid="{00000000-0010-0000-0700-000004000000}" name="Difference" totalsRowFunction="custom" dataDxfId="557" totalsRowDxfId="556" dataCellStyle="Comma">
      <calculatedColumnFormula>B59-C59</calculatedColumnFormula>
      <totalsRowFormula>SUBTOTAL(9,Table15[Difference])</totalsRowFormula>
    </tableColumn>
  </tableColumns>
  <tableStyleInfo name="V42_ExpenseTable" showFirstColumn="0" showLastColumn="1"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D0B9B8C-E7B6-44B2-810B-F9B9342AFC28}" name="Table54" displayName="Table54" ref="A15:D29" totalsRowCount="1" headerRowDxfId="768" dataDxfId="766" headerRowBorderDxfId="767" tableBorderDxfId="765">
  <tableColumns count="4">
    <tableColumn id="1" xr3:uid="{46EB103E-5054-408B-AB2E-93A7DA277E66}" name="HOME EXPENSES" totalsRowFunction="custom" dataDxfId="764" totalsRowDxfId="763">
      <totalsRowFormula>"Total " &amp; Table54[[#Headers],[HOME EXPENSES]]</totalsRowFormula>
    </tableColumn>
    <tableColumn id="2" xr3:uid="{F0E3316D-9594-4FF6-A885-5CF96FFE6805}" name="Budget" totalsRowLabel="0.00" dataDxfId="762" totalsRowDxfId="761" dataCellStyle="Comma"/>
    <tableColumn id="3" xr3:uid="{8ECC8125-C037-485A-A873-A24975EF9725}" name="Actual" totalsRowLabel="0.00" dataDxfId="760" totalsRowDxfId="759" dataCellStyle="Comma"/>
    <tableColumn id="4" xr3:uid="{FEC90DBC-DFF2-478A-8737-3625B3EFC7BF}" name="Difference" dataDxfId="758" totalsRowDxfId="757" dataCellStyle="Comma"/>
  </tableColumns>
  <tableStyleInfo name="V42_ExpenseTable" showFirstColumn="0" showLastColumn="1"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8000000}" name="Table19" displayName="Table19" ref="A51:D56" totalsRowCount="1" headerRowDxfId="555" dataDxfId="553" headerRowBorderDxfId="554" tableBorderDxfId="552">
  <tableColumns count="4">
    <tableColumn id="1" xr3:uid="{00000000-0010-0000-0800-000001000000}" name="CHARITY/GIFTS" totalsRowFunction="custom" dataDxfId="551" totalsRowDxfId="550">
      <totalsRowFormula>"Total " &amp; Table19[[#Headers],[CHARITY/GIFTS]]</totalsRowFormula>
    </tableColumn>
    <tableColumn id="2" xr3:uid="{00000000-0010-0000-0800-000002000000}" name="Budget" totalsRowFunction="custom" dataDxfId="549" totalsRowDxfId="548" dataCellStyle="Comma">
      <totalsRowFormula>SUBTOTAL(9,Table19[Budget])</totalsRowFormula>
    </tableColumn>
    <tableColumn id="3" xr3:uid="{00000000-0010-0000-0800-000003000000}" name="Actual" totalsRowFunction="custom" dataDxfId="547" totalsRowDxfId="546" dataCellStyle="Comma">
      <totalsRowFormula>SUBTOTAL(9,Table19[Actual])</totalsRowFormula>
    </tableColumn>
    <tableColumn id="4" xr3:uid="{00000000-0010-0000-0800-000004000000}" name="Difference" totalsRowFunction="custom" dataDxfId="545" totalsRowDxfId="544" dataCellStyle="Comma">
      <calculatedColumnFormula>B52-C52</calculatedColumnFormula>
      <totalsRowFormula>SUBTOTAL(9,Table19[Difference])</totalsRowFormula>
    </tableColumn>
  </tableColumns>
  <tableStyleInfo name="V42_ExpenseTable" showFirstColumn="0" showLastColumn="1"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9000000}" name="Table20" displayName="Table20" ref="A31:D39" totalsRowCount="1" headerRowDxfId="543" dataDxfId="541" headerRowBorderDxfId="542" tableBorderDxfId="540">
  <tableColumns count="4">
    <tableColumn id="1" xr3:uid="{00000000-0010-0000-0900-000001000000}" name="TRANSPORTATION" totalsRowFunction="custom" dataDxfId="539" totalsRowDxfId="538">
      <totalsRowFormula>"Total " &amp; Table20[[#Headers],[TRANSPORTATION]]</totalsRowFormula>
    </tableColumn>
    <tableColumn id="2" xr3:uid="{00000000-0010-0000-0900-000002000000}" name="Budget" totalsRowFunction="custom" dataDxfId="537" totalsRowDxfId="536" dataCellStyle="Comma">
      <totalsRowFormula>SUBTOTAL(9,Table20[Budget])</totalsRowFormula>
    </tableColumn>
    <tableColumn id="3" xr3:uid="{00000000-0010-0000-0900-000003000000}" name="Actual" totalsRowFunction="custom" dataDxfId="535" totalsRowDxfId="534" dataCellStyle="Comma">
      <totalsRowFormula>SUBTOTAL(9,Table20[Actual])</totalsRowFormula>
    </tableColumn>
    <tableColumn id="4" xr3:uid="{00000000-0010-0000-0900-000004000000}" name="Difference" totalsRowFunction="custom" dataDxfId="533" totalsRowDxfId="532" dataCellStyle="Comma">
      <calculatedColumnFormula>B32-C32</calculatedColumnFormula>
      <totalsRowFormula>SUBTOTAL(9,Table20[Difference])</totalsRowFormula>
    </tableColumn>
  </tableColumns>
  <tableStyleInfo name="V42_ExpenseTable" showFirstColumn="0" showLastColumn="1"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A000000}" name="Table21" displayName="Table21" ref="A41:D49" totalsRowCount="1" headerRowDxfId="531" dataDxfId="529" headerRowBorderDxfId="530" tableBorderDxfId="528">
  <tableColumns count="4">
    <tableColumn id="1" xr3:uid="{00000000-0010-0000-0A00-000001000000}" name="HEALTH" totalsRowFunction="custom" dataDxfId="527" totalsRowDxfId="526">
      <totalsRowFormula>"Total " &amp; Table21[[#Headers],[HEALTH]]</totalsRowFormula>
    </tableColumn>
    <tableColumn id="2" xr3:uid="{00000000-0010-0000-0A00-000002000000}" name="Budget" totalsRowFunction="custom" dataDxfId="525" totalsRowDxfId="524" dataCellStyle="Comma">
      <totalsRowFormula>SUBTOTAL(9,Table21[Budget])</totalsRowFormula>
    </tableColumn>
    <tableColumn id="3" xr3:uid="{00000000-0010-0000-0A00-000003000000}" name="Actual" totalsRowFunction="custom" dataDxfId="523" totalsRowDxfId="522" dataCellStyle="Comma">
      <totalsRowFormula>SUBTOTAL(9,Table21[Actual])</totalsRowFormula>
    </tableColumn>
    <tableColumn id="4" xr3:uid="{00000000-0010-0000-0A00-000004000000}" name="Difference" totalsRowFunction="custom" dataDxfId="521" totalsRowDxfId="520" dataCellStyle="Comma">
      <calculatedColumnFormula>B42-C42</calculatedColumnFormula>
      <totalsRowFormula>SUBTOTAL(9,Table21[Difference])</totalsRowFormula>
    </tableColumn>
  </tableColumns>
  <tableStyleInfo name="V42_ExpenseTable" showFirstColumn="0" showLastColumn="1"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214F85FD-68CB-4147-A2D9-4B58C5E0B4CF}" name="Table224" displayName="Table224" ref="A4:D13" totalsRowCount="1" headerRowDxfId="518" dataDxfId="516" headerRowBorderDxfId="517" tableBorderDxfId="515">
  <tableColumns count="4">
    <tableColumn id="1" xr3:uid="{E960A382-2648-4DE4-A104-BE1576FCA596}" name="INCOME" totalsRowFunction="custom" totalsRowDxfId="514">
      <totalsRowFormula>"Total " &amp; Table224[[#Headers],[INCOME]]</totalsRowFormula>
    </tableColumn>
    <tableColumn id="2" xr3:uid="{02220400-E4DB-422F-B91F-39C6EFDF6BA1}" name="Budget" totalsRowFunction="custom" dataDxfId="513" totalsRowDxfId="512" dataCellStyle="Comma">
      <totalsRowFormula>SUBTOTAL(9,Table224[Budget])</totalsRowFormula>
    </tableColumn>
    <tableColumn id="3" xr3:uid="{6417FCC2-456B-4306-BB37-2B0FCD536C03}" name="Actual" totalsRowFunction="custom" dataDxfId="511" totalsRowDxfId="510" dataCellStyle="Comma">
      <totalsRowFormula>SUBTOTAL(9,Table224[Actual])</totalsRowFormula>
    </tableColumn>
    <tableColumn id="4" xr3:uid="{B18BB14A-F0E9-4CD0-8E7F-7CC620CBB776}" name="Difference" totalsRowFunction="custom" totalsRowDxfId="509" dataCellStyle="Comma">
      <calculatedColumnFormula>C5-B5</calculatedColumnFormula>
      <totalsRowFormula>SUBTOTAL(9,Table224[Difference])</totalsRowFormula>
    </tableColumn>
  </tableColumns>
  <tableStyleInfo name="V42_IncomeTable" showFirstColumn="0" showLastColumn="1"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83F52C7-19AB-423D-AB26-7ABB0EF13E50}" name="Table525" displayName="Table525" ref="A15:D29" totalsRowCount="1" headerRowDxfId="508" dataDxfId="506" headerRowBorderDxfId="507" tableBorderDxfId="505">
  <tableColumns count="4">
    <tableColumn id="1" xr3:uid="{D35B049B-3EF6-4904-A19E-06B584BEDD66}" name="HOME EXPENSES" totalsRowFunction="custom" dataDxfId="504" totalsRowDxfId="503">
      <totalsRowFormula>"Total " &amp; Table525[[#Headers],[HOME EXPENSES]]</totalsRowFormula>
    </tableColumn>
    <tableColumn id="2" xr3:uid="{9197DA4F-19FF-4512-B340-61575AB59031}" name="Budget" totalsRowLabel="0.00" dataDxfId="502" totalsRowDxfId="501" dataCellStyle="Comma"/>
    <tableColumn id="3" xr3:uid="{751A392E-F038-40E8-8429-7BE16E91CB88}" name="Actual" totalsRowLabel="0.00" dataDxfId="500" totalsRowDxfId="499" dataCellStyle="Comma"/>
    <tableColumn id="4" xr3:uid="{EC7ACB85-6521-4F72-A084-38EDA5192845}" name="Difference" dataDxfId="498" totalsRowDxfId="497" dataCellStyle="Comma"/>
  </tableColumns>
  <tableStyleInfo name="V42_ExpenseTable" showFirstColumn="0" showLastColumn="1"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136B4CA-8961-490B-A2FC-E478609CA9F9}" name="Table626" displayName="Table626" ref="F10:I20" totalsRowCount="1" headerRowDxfId="496" dataDxfId="494" headerRowBorderDxfId="495" tableBorderDxfId="493">
  <tableColumns count="4">
    <tableColumn id="1" xr3:uid="{19BB7911-F588-4A20-A6CE-6D1F2C240460}" name="DAILY LIVING" totalsRowFunction="custom" dataDxfId="492" totalsRowDxfId="491">
      <totalsRowFormula>"Total " &amp; Table626[[#Headers],[DAILY LIVING]]</totalsRowFormula>
    </tableColumn>
    <tableColumn id="2" xr3:uid="{DCFDE685-599E-4026-B3F3-1BF99A0895CC}" name="Budget" totalsRowFunction="custom" dataDxfId="490" totalsRowDxfId="489" dataCellStyle="Comma">
      <totalsRowFormula>SUBTOTAL(9,Table626[Budget])</totalsRowFormula>
    </tableColumn>
    <tableColumn id="3" xr3:uid="{A218876A-640E-49FD-9FEF-1EC7934247CC}" name="Actual" totalsRowFunction="custom" dataDxfId="488" totalsRowDxfId="487" dataCellStyle="Comma">
      <totalsRowFormula>SUBTOTAL(9,Table626[Actual])</totalsRowFormula>
    </tableColumn>
    <tableColumn id="4" xr3:uid="{DC96ED7B-6A54-4EDF-9F84-5EDDE4C0EC80}" name="Difference" totalsRowFunction="custom" dataDxfId="486" totalsRowDxfId="485" dataCellStyle="Comma">
      <calculatedColumnFormula>G11-H11</calculatedColumnFormula>
      <totalsRowFormula>SUBTOTAL(9,Table626[Difference])</totalsRowFormula>
    </tableColumn>
  </tableColumns>
  <tableStyleInfo name="V42_ExpenseTable" showFirstColumn="0" showLastColumn="1"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5308B9C-5BC5-46D4-8120-54B9A98A005E}" name="Table727" displayName="Table727" ref="F22:I37" totalsRowCount="1" headerRowDxfId="484" dataDxfId="482" headerRowBorderDxfId="483" tableBorderDxfId="481">
  <tableColumns count="4">
    <tableColumn id="1" xr3:uid="{C05590C2-1B9D-46D9-9774-BB00123D2036}" name="ENTERTAINMENT" totalsRowFunction="custom" dataDxfId="480" totalsRowDxfId="479">
      <totalsRowFormula>"Total " &amp; Table727[[#Headers],[ENTERTAINMENT]]</totalsRowFormula>
    </tableColumn>
    <tableColumn id="2" xr3:uid="{0B7D8DE4-6189-4517-A24B-0DF436D0F809}" name="Budget" totalsRowFunction="custom" dataDxfId="478" totalsRowDxfId="477" dataCellStyle="Comma">
      <totalsRowFormula>SUBTOTAL(9,Table727[Budget])</totalsRowFormula>
    </tableColumn>
    <tableColumn id="3" xr3:uid="{CB2F28C5-47DB-4D5B-8E21-02C96DC4336A}" name="Actual" totalsRowFunction="custom" dataDxfId="476" totalsRowDxfId="475" dataCellStyle="Comma">
      <totalsRowFormula>SUBTOTAL(9,Table727[Actual])</totalsRowFormula>
    </tableColumn>
    <tableColumn id="4" xr3:uid="{2551F37D-5F0D-4505-91D8-E497778A3ECE}" name="Difference" totalsRowFunction="custom" dataDxfId="474" totalsRowDxfId="473" dataCellStyle="Comma">
      <calculatedColumnFormula>G23-H23</calculatedColumnFormula>
      <totalsRowFormula>SUBTOTAL(9,Table727[Difference])</totalsRowFormula>
    </tableColumn>
  </tableColumns>
  <tableStyleInfo name="V42_ExpenseTable" showFirstColumn="0" showLastColumn="1"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5C79EE3B-627A-4311-BA35-A0F534446336}" name="Table828" displayName="Table828" ref="F39:I46" totalsRowCount="1" headerRowDxfId="472" dataDxfId="470" headerRowBorderDxfId="471" tableBorderDxfId="469">
  <tableColumns count="4">
    <tableColumn id="1" xr3:uid="{2322305B-4BDB-4F66-857F-C8431D22DFEA}" name="SAVINGS" totalsRowFunction="custom" dataDxfId="468" totalsRowDxfId="467">
      <totalsRowFormula>"Total " &amp; Table828[[#Headers],[SAVINGS]]</totalsRowFormula>
    </tableColumn>
    <tableColumn id="2" xr3:uid="{F89B9731-A575-45F3-8169-624C5CD3B107}" name="Budget" totalsRowFunction="custom" dataDxfId="466" totalsRowDxfId="465">
      <totalsRowFormula>SUBTOTAL(9,Table828[Budget])</totalsRowFormula>
    </tableColumn>
    <tableColumn id="3" xr3:uid="{38907AF5-D0E6-4D6C-8A0F-3C5F88ED2742}" name="Actual" totalsRowFunction="custom" dataDxfId="464" totalsRowDxfId="463">
      <totalsRowFormula>SUBTOTAL(9,Table828[Actual])</totalsRowFormula>
    </tableColumn>
    <tableColumn id="4" xr3:uid="{B9E970D5-0732-4C80-BD50-E4118ED54219}" name="Difference" totalsRowFunction="custom" dataDxfId="462" totalsRowDxfId="461" dataCellStyle="Comma">
      <calculatedColumnFormula>G40-H40</calculatedColumnFormula>
      <totalsRowFormula>SUBTOTAL(9,Table828[Difference])</totalsRowFormula>
    </tableColumn>
  </tableColumns>
  <tableStyleInfo name="V42_ExpenseTable" showFirstColumn="0" showLastColumn="1"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D61B03AC-F883-4247-9167-7FEA9A5F02FF}" name="Table1029" displayName="Table1029" ref="F48:I56" totalsRowCount="1" headerRowDxfId="460" dataDxfId="458" headerRowBorderDxfId="459">
  <tableColumns count="4">
    <tableColumn id="1" xr3:uid="{38AB76F4-C0B9-4F95-86ED-6E44D2A38086}" name="OBLIGATIONS" totalsRowFunction="custom" dataDxfId="457" totalsRowDxfId="456">
      <totalsRowFormula>"Total " &amp; Table1029[[#Headers],[OBLIGATIONS]]</totalsRowFormula>
    </tableColumn>
    <tableColumn id="2" xr3:uid="{F8DCF8D8-2937-49EA-82F5-9441365739B8}" name="Budget" totalsRowFunction="custom" dataDxfId="455" totalsRowDxfId="454" dataCellStyle="Comma">
      <totalsRowFormula>SUBTOTAL(9,Table1029[Budget])</totalsRowFormula>
    </tableColumn>
    <tableColumn id="3" xr3:uid="{3C20C46A-325A-4A72-B0CC-518EA019CD29}" name="Actual" totalsRowFunction="custom" dataDxfId="453" totalsRowDxfId="452" dataCellStyle="Comma">
      <totalsRowFormula>SUBTOTAL(9,Table1029[Actual])</totalsRowFormula>
    </tableColumn>
    <tableColumn id="4" xr3:uid="{C943DC30-C655-474F-8F14-F0E1203C1082}" name="Difference" totalsRowFunction="custom" dataDxfId="451" totalsRowDxfId="450" dataCellStyle="Comma">
      <calculatedColumnFormula>G49-H49</calculatedColumnFormula>
      <totalsRowFormula>SUBTOTAL(9,Table1029[Difference])</totalsRowFormula>
    </tableColumn>
  </tableColumns>
  <tableStyleInfo name="V42_ExpenseTable" showFirstColumn="0" showLastColumn="1"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4FC70423-4CF9-44FB-832E-C4EADC03D731}" name="Table1430" displayName="Table1430" ref="F58:I63" totalsRowCount="1" headerRowDxfId="449" dataDxfId="447" headerRowBorderDxfId="448" tableBorderDxfId="446">
  <tableColumns count="4">
    <tableColumn id="1" xr3:uid="{3CDB6BFF-3C2A-41B5-BCF2-B9E49F2A7107}" name="MISCELLANEOUS" totalsRowFunction="custom" dataDxfId="445" totalsRowDxfId="444">
      <totalsRowFormula>"Total " &amp; Table1430[[#Headers],[MISCELLANEOUS]]</totalsRowFormula>
    </tableColumn>
    <tableColumn id="2" xr3:uid="{F746FFAB-C2C6-462D-9F2F-270CFF44B428}" name="Budget" totalsRowFunction="custom" dataDxfId="443" totalsRowDxfId="442" dataCellStyle="Comma">
      <totalsRowFormula>SUBTOTAL(9,Table1430[Budget])</totalsRowFormula>
    </tableColumn>
    <tableColumn id="3" xr3:uid="{DE4F8D66-D1FA-474C-99E0-2C449A8A6F6B}" name="Actual" totalsRowFunction="custom" dataDxfId="441" totalsRowDxfId="440" dataCellStyle="Comma">
      <totalsRowFormula>SUBTOTAL(9,Table1430[Actual])</totalsRowFormula>
    </tableColumn>
    <tableColumn id="4" xr3:uid="{E99A2B7E-D38F-44DD-AE77-F9AF55B2099F}" name="Difference" totalsRowFunction="custom" dataDxfId="439" totalsRowDxfId="438" dataCellStyle="Comma">
      <calculatedColumnFormula>G59-H59</calculatedColumnFormula>
      <totalsRowFormula>SUBTOTAL(9,Table1430[Difference])</totalsRowFormula>
    </tableColumn>
  </tableColumns>
  <tableStyleInfo name="V42_ExpenseTable" showFirstColumn="0" showLastColumn="1"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6FFC457-24DC-4856-B018-FD964986F2BC}" name="Table65" displayName="Table65" ref="F10:I20" totalsRowCount="1" headerRowDxfId="756" dataDxfId="754" headerRowBorderDxfId="755" tableBorderDxfId="753">
  <tableColumns count="4">
    <tableColumn id="1" xr3:uid="{6D18D389-2D84-403C-8814-EFF29D32C9CE}" name="DAILY LIVING" totalsRowFunction="custom" dataDxfId="752" totalsRowDxfId="751">
      <totalsRowFormula>"Total " &amp; Table65[[#Headers],[DAILY LIVING]]</totalsRowFormula>
    </tableColumn>
    <tableColumn id="2" xr3:uid="{92A0220B-619E-4314-9BC6-0E1444A359F7}" name="Budget" totalsRowFunction="custom" dataDxfId="750" totalsRowDxfId="749" dataCellStyle="Comma">
      <totalsRowFormula>SUBTOTAL(9,Table65[Budget])</totalsRowFormula>
    </tableColumn>
    <tableColumn id="3" xr3:uid="{C823C09B-E81C-4820-9415-957392687F54}" name="Actual" totalsRowFunction="custom" dataDxfId="748" totalsRowDxfId="747" dataCellStyle="Comma">
      <totalsRowFormula>SUBTOTAL(9,Table65[Actual])</totalsRowFormula>
    </tableColumn>
    <tableColumn id="4" xr3:uid="{CB221B3A-B0F2-4620-A58D-F176AA610C96}" name="Difference" totalsRowFunction="custom" dataDxfId="746" totalsRowDxfId="745" dataCellStyle="Comma">
      <calculatedColumnFormula>G11-H11</calculatedColumnFormula>
      <totalsRowFormula>SUBTOTAL(9,Table65[Difference])</totalsRowFormula>
    </tableColumn>
  </tableColumns>
  <tableStyleInfo name="V42_ExpenseTable" showFirstColumn="0" showLastColumn="1"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5D2D3999-3DE9-49B0-82DB-2A79CF1E9168}" name="Table1531" displayName="Table1531" ref="A58:D63" totalsRowCount="1" headerRowDxfId="437" dataDxfId="435" headerRowBorderDxfId="436" tableBorderDxfId="434">
  <tableColumns count="4">
    <tableColumn id="1" xr3:uid="{8FD20ECC-13C6-4991-A7C3-078EEF7F7BAA}" name="SUBSCRIPTIONS" totalsRowFunction="custom" dataDxfId="433" totalsRowDxfId="432">
      <totalsRowFormula>"Total " &amp; Table1531[[#Headers],[SUBSCRIPTIONS]]</totalsRowFormula>
    </tableColumn>
    <tableColumn id="2" xr3:uid="{0B7D4806-5DC3-4AF9-89C3-713410D0896A}" name="Budget" totalsRowFunction="custom" dataDxfId="431" totalsRowDxfId="430" dataCellStyle="Comma">
      <totalsRowFormula>SUBTOTAL(9,Table1531[Budget])</totalsRowFormula>
    </tableColumn>
    <tableColumn id="3" xr3:uid="{657476CA-D73F-46E6-B37D-B8CC5496FB0A}" name="Actual" totalsRowFunction="custom" dataDxfId="429" totalsRowDxfId="428" dataCellStyle="Comma">
      <totalsRowFormula>SUBTOTAL(9,Table1531[Actual])</totalsRowFormula>
    </tableColumn>
    <tableColumn id="4" xr3:uid="{0EAE09B4-4DC8-4FA6-8A4B-426C3BE90596}" name="Difference" totalsRowFunction="custom" dataDxfId="427" totalsRowDxfId="426" dataCellStyle="Comma">
      <calculatedColumnFormula>B59-C59</calculatedColumnFormula>
      <totalsRowFormula>SUBTOTAL(9,Table1531[Difference])</totalsRowFormula>
    </tableColumn>
  </tableColumns>
  <tableStyleInfo name="V42_ExpenseTable" showFirstColumn="0" showLastColumn="1"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13486880-03D3-4362-968F-26DD53CAA260}" name="Table1932" displayName="Table1932" ref="A51:D56" totalsRowCount="1" headerRowDxfId="425" dataDxfId="423" headerRowBorderDxfId="424" tableBorderDxfId="422">
  <tableColumns count="4">
    <tableColumn id="1" xr3:uid="{9871DBB8-91C1-4393-88D9-892A8DF603DE}" name="CHARITY/GIFTS" totalsRowFunction="custom" dataDxfId="421" totalsRowDxfId="420">
      <totalsRowFormula>"Total " &amp; Table1932[[#Headers],[CHARITY/GIFTS]]</totalsRowFormula>
    </tableColumn>
    <tableColumn id="2" xr3:uid="{FE818010-2BB9-46B6-8805-94CB08B018ED}" name="Budget" totalsRowFunction="custom" dataDxfId="419" totalsRowDxfId="418" dataCellStyle="Comma">
      <totalsRowFormula>SUBTOTAL(9,Table1932[Budget])</totalsRowFormula>
    </tableColumn>
    <tableColumn id="3" xr3:uid="{BD1E65F0-9499-4031-8A7A-E20DCC3A8C46}" name="Actual" totalsRowFunction="custom" dataDxfId="417" totalsRowDxfId="416" dataCellStyle="Comma">
      <totalsRowFormula>SUBTOTAL(9,Table1932[Actual])</totalsRowFormula>
    </tableColumn>
    <tableColumn id="4" xr3:uid="{78AF289C-7DF9-40F9-B113-3A416D9D7000}" name="Difference" totalsRowFunction="custom" dataDxfId="415" totalsRowDxfId="414" dataCellStyle="Comma">
      <calculatedColumnFormula>B52-C52</calculatedColumnFormula>
      <totalsRowFormula>SUBTOTAL(9,Table1932[Difference])</totalsRowFormula>
    </tableColumn>
  </tableColumns>
  <tableStyleInfo name="V42_ExpenseTable" showFirstColumn="0" showLastColumn="1"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DF18650D-9C9D-4220-874B-72CA0B4B277D}" name="Table2033" displayName="Table2033" ref="A31:D39" totalsRowCount="1" headerRowDxfId="413" dataDxfId="411" headerRowBorderDxfId="412" tableBorderDxfId="410">
  <tableColumns count="4">
    <tableColumn id="1" xr3:uid="{3B122171-7FE1-462F-9ECA-6FDD39AB4BE9}" name="TRANSPORTATION" totalsRowFunction="custom" dataDxfId="409" totalsRowDxfId="408">
      <totalsRowFormula>"Total " &amp; Table2033[[#Headers],[TRANSPORTATION]]</totalsRowFormula>
    </tableColumn>
    <tableColumn id="2" xr3:uid="{FDAE3623-D11A-4A33-84AD-75A3FE499DB7}" name="Budget" totalsRowFunction="custom" dataDxfId="407" totalsRowDxfId="406" dataCellStyle="Comma">
      <totalsRowFormula>SUBTOTAL(9,Table2033[Budget])</totalsRowFormula>
    </tableColumn>
    <tableColumn id="3" xr3:uid="{B4B1931C-5F68-4CFE-ABD1-BFAED19C7926}" name="Actual" totalsRowFunction="custom" dataDxfId="405" totalsRowDxfId="404" dataCellStyle="Comma">
      <totalsRowFormula>SUBTOTAL(9,Table2033[Actual])</totalsRowFormula>
    </tableColumn>
    <tableColumn id="4" xr3:uid="{ABEDA2A0-8D4A-4509-A132-C65ECCF3AD0F}" name="Difference" totalsRowFunction="custom" dataDxfId="403" totalsRowDxfId="402" dataCellStyle="Comma">
      <calculatedColumnFormula>B32-C32</calculatedColumnFormula>
      <totalsRowFormula>SUBTOTAL(9,Table2033[Difference])</totalsRowFormula>
    </tableColumn>
  </tableColumns>
  <tableStyleInfo name="V42_ExpenseTable" showFirstColumn="0" showLastColumn="1"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BD3C32E6-8742-4C4D-8FBB-A4D2B2CF9C02}" name="Table2134" displayName="Table2134" ref="A41:D49" totalsRowCount="1" headerRowDxfId="401" dataDxfId="399" headerRowBorderDxfId="400" tableBorderDxfId="398">
  <tableColumns count="4">
    <tableColumn id="1" xr3:uid="{C286C9B6-A4B8-4640-9F18-E63742D0373A}" name="HEALTH" totalsRowFunction="custom" dataDxfId="397" totalsRowDxfId="396">
      <totalsRowFormula>"Total " &amp; Table2134[[#Headers],[HEALTH]]</totalsRowFormula>
    </tableColumn>
    <tableColumn id="2" xr3:uid="{A5606633-90D3-4230-B6AB-7038879975AC}" name="Budget" totalsRowFunction="custom" dataDxfId="395" totalsRowDxfId="394" dataCellStyle="Comma">
      <totalsRowFormula>SUBTOTAL(9,Table2134[Budget])</totalsRowFormula>
    </tableColumn>
    <tableColumn id="3" xr3:uid="{0AD8B7A6-8BFB-42FA-8176-909B86C7489E}" name="Actual" totalsRowFunction="custom" dataDxfId="393" totalsRowDxfId="392" dataCellStyle="Comma">
      <totalsRowFormula>SUBTOTAL(9,Table2134[Actual])</totalsRowFormula>
    </tableColumn>
    <tableColumn id="4" xr3:uid="{9BA187A8-F352-4AF9-9E9C-A303C320AD04}" name="Difference" totalsRowFunction="custom" dataDxfId="391" totalsRowDxfId="390" dataCellStyle="Comma">
      <calculatedColumnFormula>B42-C42</calculatedColumnFormula>
      <totalsRowFormula>SUBTOTAL(9,Table2134[Difference])</totalsRowFormula>
    </tableColumn>
  </tableColumns>
  <tableStyleInfo name="V42_ExpenseTable" showFirstColumn="0" showLastColumn="1" showRowStripes="0"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3A3A26E8-EA54-45A7-AF76-B6DD37FF5AB8}" name="Table22435" displayName="Table22435" ref="A4:D13" totalsRowCount="1" headerRowDxfId="388" dataDxfId="386" headerRowBorderDxfId="387" tableBorderDxfId="385">
  <tableColumns count="4">
    <tableColumn id="1" xr3:uid="{966E2670-DCE6-4E8A-A9C5-2E95477C72A7}" name="INCOME" totalsRowFunction="custom" totalsRowDxfId="384">
      <totalsRowFormula>"Total " &amp; Table22435[[#Headers],[INCOME]]</totalsRowFormula>
    </tableColumn>
    <tableColumn id="2" xr3:uid="{04672962-BD2E-446D-A18A-BD9FC22A194E}" name="Budget" totalsRowFunction="custom" dataDxfId="383" totalsRowDxfId="382" dataCellStyle="Comma">
      <totalsRowFormula>SUBTOTAL(9,Table22435[Budget])</totalsRowFormula>
    </tableColumn>
    <tableColumn id="3" xr3:uid="{E9DC46D6-B2EA-45E4-8364-E8E2EBFD2913}" name="Actual" totalsRowFunction="custom" dataDxfId="381" totalsRowDxfId="380" dataCellStyle="Comma">
      <totalsRowFormula>SUBTOTAL(9,Table22435[Actual])</totalsRowFormula>
    </tableColumn>
    <tableColumn id="4" xr3:uid="{7CCDABC7-B6EF-4B45-813D-2EB6705C15D2}" name="Difference" totalsRowFunction="custom" totalsRowDxfId="379" dataCellStyle="Comma">
      <calculatedColumnFormula>C5-B5</calculatedColumnFormula>
      <totalsRowFormula>SUBTOTAL(9,Table22435[Difference])</totalsRowFormula>
    </tableColumn>
  </tableColumns>
  <tableStyleInfo name="V42_IncomeTable" showFirstColumn="0" showLastColumn="1" showRowStripes="0"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79EBDCF-C3E8-46A3-A670-BDF5FD207FCB}" name="Table52536" displayName="Table52536" ref="A15:D29" totalsRowCount="1" headerRowDxfId="378" dataDxfId="376" headerRowBorderDxfId="377" tableBorderDxfId="375">
  <tableColumns count="4">
    <tableColumn id="1" xr3:uid="{6078BBE1-4A1A-4DFF-A0F8-2F872981239F}" name="HOME EXPENSES" totalsRowFunction="custom" dataDxfId="374" totalsRowDxfId="373">
      <totalsRowFormula>"Total " &amp; Table52536[[#Headers],[HOME EXPENSES]]</totalsRowFormula>
    </tableColumn>
    <tableColumn id="2" xr3:uid="{7A126485-C506-4314-8995-561AB5861E44}" name="Budget" totalsRowLabel="0.00" dataDxfId="372" totalsRowDxfId="371" dataCellStyle="Comma"/>
    <tableColumn id="3" xr3:uid="{87E47FC7-C8E9-491F-8D47-CC7379B95473}" name="Actual" totalsRowLabel="0.00" dataDxfId="370" totalsRowDxfId="369" dataCellStyle="Comma"/>
    <tableColumn id="4" xr3:uid="{94D934D3-6743-4C91-B56A-84F5AFAC06DF}" name="Difference" dataDxfId="368" totalsRowDxfId="367" dataCellStyle="Comma"/>
  </tableColumns>
  <tableStyleInfo name="V42_ExpenseTable" showFirstColumn="0" showLastColumn="1" showRowStripes="0"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AE4BB7E-7CCD-4004-9BDB-E0400F3ED57C}" name="Table62637" displayName="Table62637" ref="F10:I20" totalsRowCount="1" headerRowDxfId="366" dataDxfId="364" headerRowBorderDxfId="365" tableBorderDxfId="363">
  <tableColumns count="4">
    <tableColumn id="1" xr3:uid="{7DEE3E4A-C844-4F78-BD07-3E62792269B5}" name="DAILY LIVING" totalsRowFunction="custom" dataDxfId="362" totalsRowDxfId="361">
      <totalsRowFormula>"Total " &amp; Table62637[[#Headers],[DAILY LIVING]]</totalsRowFormula>
    </tableColumn>
    <tableColumn id="2" xr3:uid="{8AE7BE0A-6790-42D9-9617-E94565FAA703}" name="Budget" totalsRowFunction="custom" dataDxfId="360" totalsRowDxfId="359" dataCellStyle="Comma">
      <totalsRowFormula>SUBTOTAL(9,Table62637[Budget])</totalsRowFormula>
    </tableColumn>
    <tableColumn id="3" xr3:uid="{41379F99-04B7-4A83-865B-4E59828E4372}" name="Actual" totalsRowFunction="custom" dataDxfId="358" totalsRowDxfId="357" dataCellStyle="Comma">
      <totalsRowFormula>SUBTOTAL(9,Table62637[Actual])</totalsRowFormula>
    </tableColumn>
    <tableColumn id="4" xr3:uid="{87A30A0B-DB62-4BA4-A114-800D6FABC491}" name="Difference" totalsRowFunction="custom" dataDxfId="356" totalsRowDxfId="355" dataCellStyle="Comma">
      <calculatedColumnFormula>G11-H11</calculatedColumnFormula>
      <totalsRowFormula>SUBTOTAL(9,Table62637[Difference])</totalsRowFormula>
    </tableColumn>
  </tableColumns>
  <tableStyleInfo name="V42_ExpenseTable" showFirstColumn="0" showLastColumn="1" showRowStripes="0"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81DFDDEA-7B06-4EAA-99E3-83719876C7BD}" name="Table72738" displayName="Table72738" ref="F22:I37" totalsRowCount="1" headerRowDxfId="354" dataDxfId="352" headerRowBorderDxfId="353" tableBorderDxfId="351">
  <tableColumns count="4">
    <tableColumn id="1" xr3:uid="{BA6F68A8-BDB2-4AE5-AA36-FF28F0E37CC1}" name="ENTERTAINMENT" totalsRowFunction="custom" dataDxfId="350" totalsRowDxfId="349">
      <totalsRowFormula>"Total " &amp; Table72738[[#Headers],[ENTERTAINMENT]]</totalsRowFormula>
    </tableColumn>
    <tableColumn id="2" xr3:uid="{EEF1890C-BBC7-4567-AB3C-7904924071FD}" name="Budget" totalsRowFunction="custom" dataDxfId="348" totalsRowDxfId="347" dataCellStyle="Comma">
      <totalsRowFormula>SUBTOTAL(9,Table72738[Budget])</totalsRowFormula>
    </tableColumn>
    <tableColumn id="3" xr3:uid="{0799531A-7202-4B90-A3AB-1E1F8DAB31B4}" name="Actual" totalsRowFunction="custom" dataDxfId="346" totalsRowDxfId="345" dataCellStyle="Comma">
      <totalsRowFormula>SUBTOTAL(9,Table72738[Actual])</totalsRowFormula>
    </tableColumn>
    <tableColumn id="4" xr3:uid="{29295341-BB4C-4081-AEDB-22751452A99D}" name="Difference" totalsRowFunction="custom" dataDxfId="344" totalsRowDxfId="343" dataCellStyle="Comma">
      <calculatedColumnFormula>G23-H23</calculatedColumnFormula>
      <totalsRowFormula>SUBTOTAL(9,Table72738[Difference])</totalsRowFormula>
    </tableColumn>
  </tableColumns>
  <tableStyleInfo name="V42_ExpenseTable" showFirstColumn="0" showLastColumn="1" showRowStripes="0"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B8875BAA-63A3-43B6-A4DC-33F8C609F1D4}" name="Table82839" displayName="Table82839" ref="F39:I46" totalsRowCount="1" headerRowDxfId="342" dataDxfId="340" headerRowBorderDxfId="341" tableBorderDxfId="339">
  <tableColumns count="4">
    <tableColumn id="1" xr3:uid="{70763DC2-DD57-4404-A418-5C78295AA223}" name="SAVINGS" totalsRowFunction="custom" dataDxfId="338" totalsRowDxfId="337">
      <totalsRowFormula>"Total " &amp; Table82839[[#Headers],[SAVINGS]]</totalsRowFormula>
    </tableColumn>
    <tableColumn id="2" xr3:uid="{83E2DCF3-CF3C-401A-AFDB-3F81F86D92B4}" name="Budget" totalsRowFunction="custom" dataDxfId="336" totalsRowDxfId="335">
      <totalsRowFormula>SUBTOTAL(9,Table82839[Budget])</totalsRowFormula>
    </tableColumn>
    <tableColumn id="3" xr3:uid="{AFD48D9C-0A55-4E19-9B1B-5E7F52234DA3}" name="Actual" totalsRowFunction="custom" dataDxfId="334" totalsRowDxfId="333">
      <totalsRowFormula>SUBTOTAL(9,Table82839[Actual])</totalsRowFormula>
    </tableColumn>
    <tableColumn id="4" xr3:uid="{2BDB1223-62C0-48D7-8805-C59524945440}" name="Difference" totalsRowFunction="custom" dataDxfId="332" totalsRowDxfId="331" dataCellStyle="Comma">
      <calculatedColumnFormula>G40-H40</calculatedColumnFormula>
      <totalsRowFormula>SUBTOTAL(9,Table82839[Difference])</totalsRowFormula>
    </tableColumn>
  </tableColumns>
  <tableStyleInfo name="V42_ExpenseTable" showFirstColumn="0" showLastColumn="1" showRowStripes="0"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133F2B66-D803-41B5-8679-46F7231C8B5B}" name="Table102940" displayName="Table102940" ref="F48:I56" totalsRowCount="1" headerRowDxfId="330" dataDxfId="328" headerRowBorderDxfId="329">
  <tableColumns count="4">
    <tableColumn id="1" xr3:uid="{33D9670D-165F-4EC2-BC45-81FE039AA191}" name="OBLIGATIONS" totalsRowFunction="custom" dataDxfId="327" totalsRowDxfId="326">
      <totalsRowFormula>"Total " &amp; Table102940[[#Headers],[OBLIGATIONS]]</totalsRowFormula>
    </tableColumn>
    <tableColumn id="2" xr3:uid="{3F78FA0B-FAD8-452F-838F-994B1F7B93DC}" name="Budget" totalsRowFunction="custom" dataDxfId="325" totalsRowDxfId="324" dataCellStyle="Comma">
      <totalsRowFormula>SUBTOTAL(9,Table102940[Budget])</totalsRowFormula>
    </tableColumn>
    <tableColumn id="3" xr3:uid="{C3E5B231-3F94-44F6-8364-17E2014F6AA4}" name="Actual" totalsRowFunction="custom" dataDxfId="323" totalsRowDxfId="322" dataCellStyle="Comma">
      <totalsRowFormula>SUBTOTAL(9,Table102940[Actual])</totalsRowFormula>
    </tableColumn>
    <tableColumn id="4" xr3:uid="{D365C8E1-156C-4B21-AE46-62467183F31E}" name="Difference" totalsRowFunction="custom" dataDxfId="321" totalsRowDxfId="320" dataCellStyle="Comma">
      <calculatedColumnFormula>G49-H49</calculatedColumnFormula>
      <totalsRowFormula>SUBTOTAL(9,Table102940[Difference])</totalsRowFormula>
    </tableColumn>
  </tableColumns>
  <tableStyleInfo name="V42_ExpenseTable" showFirstColumn="0" showLastColumn="1"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EB474F9-97FA-4593-82DA-B2F747BFB54A}" name="Table710" displayName="Table710" ref="F22:I37" totalsRowCount="1" headerRowDxfId="744" dataDxfId="742" headerRowBorderDxfId="743" tableBorderDxfId="741">
  <tableColumns count="4">
    <tableColumn id="1" xr3:uid="{114407AB-A068-4BCF-BC67-D726180E283A}" name="ENTERTAINMENT" totalsRowFunction="custom" dataDxfId="740" totalsRowDxfId="739">
      <totalsRowFormula>"Total " &amp; Table710[[#Headers],[ENTERTAINMENT]]</totalsRowFormula>
    </tableColumn>
    <tableColumn id="2" xr3:uid="{77F17CE0-549C-48B2-A03E-6BB8D511D300}" name="Budget" totalsRowFunction="custom" dataDxfId="738" totalsRowDxfId="737" dataCellStyle="Comma">
      <totalsRowFormula>SUBTOTAL(9,Table710[Budget])</totalsRowFormula>
    </tableColumn>
    <tableColumn id="3" xr3:uid="{B898434C-AC8D-41F2-B763-08087CF77EDD}" name="Actual" totalsRowFunction="custom" dataDxfId="736" totalsRowDxfId="735" dataCellStyle="Comma">
      <totalsRowFormula>SUBTOTAL(9,Table710[Actual])</totalsRowFormula>
    </tableColumn>
    <tableColumn id="4" xr3:uid="{2ED30559-374A-44AA-84F4-52159A032905}" name="Difference" totalsRowFunction="custom" dataDxfId="734" totalsRowDxfId="733" dataCellStyle="Comma">
      <calculatedColumnFormula>G23-H23</calculatedColumnFormula>
      <totalsRowFormula>SUBTOTAL(9,Table710[Difference])</totalsRowFormula>
    </tableColumn>
  </tableColumns>
  <tableStyleInfo name="V42_ExpenseTable" showFirstColumn="0" showLastColumn="1" showRowStripes="0"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E1A96634-6BD8-42AA-9ECC-EFE3D9F51DC3}" name="Table143041" displayName="Table143041" ref="F58:I63" totalsRowCount="1" headerRowDxfId="319" dataDxfId="317" headerRowBorderDxfId="318" tableBorderDxfId="316">
  <tableColumns count="4">
    <tableColumn id="1" xr3:uid="{5DB27830-20A0-4632-999F-BD6098F70328}" name="MISCELLANEOUS" totalsRowFunction="custom" dataDxfId="315" totalsRowDxfId="314">
      <totalsRowFormula>"Total " &amp; Table143041[[#Headers],[MISCELLANEOUS]]</totalsRowFormula>
    </tableColumn>
    <tableColumn id="2" xr3:uid="{ED9FD290-F85E-489A-8850-115A17EA95A3}" name="Budget" totalsRowFunction="custom" dataDxfId="313" totalsRowDxfId="312" dataCellStyle="Comma">
      <totalsRowFormula>SUBTOTAL(9,Table143041[Budget])</totalsRowFormula>
    </tableColumn>
    <tableColumn id="3" xr3:uid="{45A3313F-384C-468B-8DD1-E81B6B46E8A0}" name="Actual" totalsRowFunction="custom" dataDxfId="311" totalsRowDxfId="310" dataCellStyle="Comma">
      <totalsRowFormula>SUBTOTAL(9,Table143041[Actual])</totalsRowFormula>
    </tableColumn>
    <tableColumn id="4" xr3:uid="{6216C3E7-34CA-46A2-BEA8-E36C690E3F6D}" name="Difference" totalsRowFunction="custom" dataDxfId="309" totalsRowDxfId="308" dataCellStyle="Comma">
      <calculatedColumnFormula>G59-H59</calculatedColumnFormula>
      <totalsRowFormula>SUBTOTAL(9,Table143041[Difference])</totalsRowFormula>
    </tableColumn>
  </tableColumns>
  <tableStyleInfo name="V42_ExpenseTable" showFirstColumn="0" showLastColumn="1" showRowStripes="0"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5272A2FA-AA6E-4232-9909-4E6600C73597}" name="Table153142" displayName="Table153142" ref="A58:D63" totalsRowCount="1" headerRowDxfId="307" dataDxfId="305" headerRowBorderDxfId="306" tableBorderDxfId="304">
  <tableColumns count="4">
    <tableColumn id="1" xr3:uid="{F606C157-2DB7-4048-ACC8-7F1D85AB0215}" name="SUBSCRIPTIONS" totalsRowFunction="custom" dataDxfId="303" totalsRowDxfId="302">
      <totalsRowFormula>"Total " &amp; Table153142[[#Headers],[SUBSCRIPTIONS]]</totalsRowFormula>
    </tableColumn>
    <tableColumn id="2" xr3:uid="{D2DF0249-DEA2-44D2-AE23-491EEEEB61CF}" name="Budget" totalsRowFunction="custom" dataDxfId="301" totalsRowDxfId="300" dataCellStyle="Comma">
      <totalsRowFormula>SUBTOTAL(9,Table153142[Budget])</totalsRowFormula>
    </tableColumn>
    <tableColumn id="3" xr3:uid="{A0376F37-FA13-48C0-B5B6-EB4D94962D9B}" name="Actual" totalsRowFunction="custom" dataDxfId="299" totalsRowDxfId="298" dataCellStyle="Comma">
      <totalsRowFormula>SUBTOTAL(9,Table153142[Actual])</totalsRowFormula>
    </tableColumn>
    <tableColumn id="4" xr3:uid="{F438A734-FA3D-457F-A831-E127391A4F4C}" name="Difference" totalsRowFunction="custom" dataDxfId="297" totalsRowDxfId="296" dataCellStyle="Comma">
      <calculatedColumnFormula>B59-C59</calculatedColumnFormula>
      <totalsRowFormula>SUBTOTAL(9,Table153142[Difference])</totalsRowFormula>
    </tableColumn>
  </tableColumns>
  <tableStyleInfo name="V42_ExpenseTable" showFirstColumn="0" showLastColumn="1" showRowStripes="0"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F095F15E-F2DD-470E-B6B5-074B83181B4C}" name="Table193243" displayName="Table193243" ref="A51:D56" totalsRowCount="1" headerRowDxfId="295" dataDxfId="293" headerRowBorderDxfId="294" tableBorderDxfId="292">
  <tableColumns count="4">
    <tableColumn id="1" xr3:uid="{A84DD9BC-24C5-4730-97D2-A6EEA52B917F}" name="CHARITY/GIFTS" totalsRowFunction="custom" dataDxfId="291" totalsRowDxfId="290">
      <totalsRowFormula>"Total " &amp; Table193243[[#Headers],[CHARITY/GIFTS]]</totalsRowFormula>
    </tableColumn>
    <tableColumn id="2" xr3:uid="{67A84BA6-0720-4E3E-94C9-051223D19C62}" name="Budget" totalsRowFunction="custom" dataDxfId="289" totalsRowDxfId="288" dataCellStyle="Comma">
      <totalsRowFormula>SUBTOTAL(9,Table193243[Budget])</totalsRowFormula>
    </tableColumn>
    <tableColumn id="3" xr3:uid="{5AD71413-5B33-4D23-ACA7-DC0FE80AEFDB}" name="Actual" totalsRowFunction="custom" dataDxfId="287" totalsRowDxfId="286" dataCellStyle="Comma">
      <totalsRowFormula>SUBTOTAL(9,Table193243[Actual])</totalsRowFormula>
    </tableColumn>
    <tableColumn id="4" xr3:uid="{19C89602-0A7D-4F11-AFEA-3AB7A27575D9}" name="Difference" totalsRowFunction="custom" dataDxfId="285" totalsRowDxfId="284" dataCellStyle="Comma">
      <calculatedColumnFormula>B52-C52</calculatedColumnFormula>
      <totalsRowFormula>SUBTOTAL(9,Table193243[Difference])</totalsRowFormula>
    </tableColumn>
  </tableColumns>
  <tableStyleInfo name="V42_ExpenseTable" showFirstColumn="0" showLastColumn="1" showRowStripes="0"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EE185597-FDA4-4DC1-BA9A-DD4446237515}" name="Table203344" displayName="Table203344" ref="A31:D39" totalsRowCount="1" headerRowDxfId="283" dataDxfId="281" headerRowBorderDxfId="282" tableBorderDxfId="280">
  <tableColumns count="4">
    <tableColumn id="1" xr3:uid="{C7EEB9EA-8BB8-4543-A4F3-3DBA10922311}" name="TRANSPORTATION" totalsRowFunction="custom" dataDxfId="279" totalsRowDxfId="278">
      <totalsRowFormula>"Total " &amp; Table203344[[#Headers],[TRANSPORTATION]]</totalsRowFormula>
    </tableColumn>
    <tableColumn id="2" xr3:uid="{2832A0EC-B7F8-4CE6-8FD3-DC7F8DB852AA}" name="Budget" totalsRowFunction="custom" dataDxfId="277" totalsRowDxfId="276" dataCellStyle="Comma">
      <totalsRowFormula>SUBTOTAL(9,Table203344[Budget])</totalsRowFormula>
    </tableColumn>
    <tableColumn id="3" xr3:uid="{5306964C-4CFA-4F27-92DB-20DC193BFA0C}" name="Actual" totalsRowFunction="custom" dataDxfId="275" totalsRowDxfId="274" dataCellStyle="Comma">
      <totalsRowFormula>SUBTOTAL(9,Table203344[Actual])</totalsRowFormula>
    </tableColumn>
    <tableColumn id="4" xr3:uid="{425EA513-F8CF-4B72-8BA1-06608B471DD7}" name="Difference" totalsRowFunction="custom" dataDxfId="273" totalsRowDxfId="272" dataCellStyle="Comma">
      <calculatedColumnFormula>B32-C32</calculatedColumnFormula>
      <totalsRowFormula>SUBTOTAL(9,Table203344[Difference])</totalsRowFormula>
    </tableColumn>
  </tableColumns>
  <tableStyleInfo name="V42_ExpenseTable" showFirstColumn="0" showLastColumn="1" showRowStripes="0"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2DB6188F-ABE0-4ACF-A48D-6D0DA935E64B}" name="Table213445" displayName="Table213445" ref="A41:D49" totalsRowCount="1" headerRowDxfId="271" dataDxfId="269" headerRowBorderDxfId="270" tableBorderDxfId="268">
  <tableColumns count="4">
    <tableColumn id="1" xr3:uid="{6F5C5650-A557-49D8-918F-322DF6619E15}" name="HEALTH" totalsRowFunction="custom" dataDxfId="267" totalsRowDxfId="266">
      <totalsRowFormula>"Total " &amp; Table213445[[#Headers],[HEALTH]]</totalsRowFormula>
    </tableColumn>
    <tableColumn id="2" xr3:uid="{1D93BAAF-9E9B-49B2-A7AC-011342F082A5}" name="Budget" totalsRowFunction="custom" dataDxfId="265" totalsRowDxfId="264" dataCellStyle="Comma">
      <totalsRowFormula>SUBTOTAL(9,Table213445[Budget])</totalsRowFormula>
    </tableColumn>
    <tableColumn id="3" xr3:uid="{D408B1A3-4628-4956-86B9-5FFECBDFCBA5}" name="Actual" totalsRowFunction="custom" dataDxfId="263" totalsRowDxfId="262" dataCellStyle="Comma">
      <totalsRowFormula>SUBTOTAL(9,Table213445[Actual])</totalsRowFormula>
    </tableColumn>
    <tableColumn id="4" xr3:uid="{08702158-35AD-4458-A20C-DA9CB9833278}" name="Difference" totalsRowFunction="custom" dataDxfId="261" totalsRowDxfId="260" dataCellStyle="Comma">
      <calculatedColumnFormula>B42-C42</calculatedColumnFormula>
      <totalsRowFormula>SUBTOTAL(9,Table213445[Difference])</totalsRowFormula>
    </tableColumn>
  </tableColumns>
  <tableStyleInfo name="V42_ExpenseTable" showFirstColumn="0" showLastColumn="1" showRowStripes="0"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7EBB6380-954B-46E8-9645-DEE65E8A71A2}" name="Table2243546" displayName="Table2243546" ref="A4:D13" totalsRowCount="1" headerRowDxfId="258" dataDxfId="256" headerRowBorderDxfId="257" tableBorderDxfId="255">
  <tableColumns count="4">
    <tableColumn id="1" xr3:uid="{D7EA8ABA-F52B-4954-A008-E601D7677DAA}" name="INCOME" totalsRowFunction="custom" totalsRowDxfId="254">
      <totalsRowFormula>"Total " &amp; Table2243546[[#Headers],[INCOME]]</totalsRowFormula>
    </tableColumn>
    <tableColumn id="2" xr3:uid="{FD85E44C-FA8C-43E6-B39A-A6A47F49927B}" name="Budget" totalsRowFunction="custom" dataDxfId="253" totalsRowDxfId="252" dataCellStyle="Comma">
      <totalsRowFormula>SUBTOTAL(9,Table2243546[Budget])</totalsRowFormula>
    </tableColumn>
    <tableColumn id="3" xr3:uid="{42C3538F-E1F5-4C31-A29B-E22C7EA38B27}" name="Actual" totalsRowFunction="custom" dataDxfId="251" totalsRowDxfId="250" dataCellStyle="Comma">
      <totalsRowFormula>SUBTOTAL(9,Table2243546[Actual])</totalsRowFormula>
    </tableColumn>
    <tableColumn id="4" xr3:uid="{927276DD-12C1-4E42-8037-A1BCA5450D42}" name="Difference" totalsRowFunction="custom" totalsRowDxfId="249" dataCellStyle="Comma">
      <calculatedColumnFormula>C5-B5</calculatedColumnFormula>
      <totalsRowFormula>SUBTOTAL(9,Table2243546[Difference])</totalsRowFormula>
    </tableColumn>
  </tableColumns>
  <tableStyleInfo name="V42_IncomeTable" showFirstColumn="0" showLastColumn="1" showRowStripes="0"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36B3E2AC-0578-4D81-8428-8AD840652DC4}" name="Table5253647" displayName="Table5253647" ref="A15:D29" totalsRowCount="1" headerRowDxfId="248" dataDxfId="246" headerRowBorderDxfId="247" tableBorderDxfId="245">
  <tableColumns count="4">
    <tableColumn id="1" xr3:uid="{36F132D8-2BC7-4010-9809-0C8C35CB5270}" name="HOME EXPENSES" totalsRowFunction="custom" dataDxfId="244" totalsRowDxfId="243">
      <totalsRowFormula>"Total " &amp; Table5253647[[#Headers],[HOME EXPENSES]]</totalsRowFormula>
    </tableColumn>
    <tableColumn id="2" xr3:uid="{1D83B793-A0B3-4D07-A735-F479F96466B8}" name="Budget" totalsRowLabel="0.00" dataDxfId="242" totalsRowDxfId="241" dataCellStyle="Comma"/>
    <tableColumn id="3" xr3:uid="{842EFF55-FA16-490A-A61A-AB2431CC74A9}" name="Actual" totalsRowLabel="0.00" dataDxfId="240" totalsRowDxfId="239" dataCellStyle="Comma"/>
    <tableColumn id="4" xr3:uid="{8DAE30D3-BBDC-4007-9A1B-9D7E8B3005C3}" name="Difference" dataDxfId="238" totalsRowDxfId="237" dataCellStyle="Comma"/>
  </tableColumns>
  <tableStyleInfo name="V42_ExpenseTable" showFirstColumn="0" showLastColumn="1" showRowStripes="0"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FFE8C164-5C3E-4AC7-AB4E-2F2412C9E933}" name="Table6263748" displayName="Table6263748" ref="F10:I20" totalsRowCount="1" headerRowDxfId="236" dataDxfId="234" headerRowBorderDxfId="235" tableBorderDxfId="233">
  <tableColumns count="4">
    <tableColumn id="1" xr3:uid="{D3DA9FBA-0E7C-4CE4-8E98-88559C4207B2}" name="DAILY LIVING" totalsRowFunction="custom" dataDxfId="232" totalsRowDxfId="231">
      <totalsRowFormula>"Total " &amp; Table6263748[[#Headers],[DAILY LIVING]]</totalsRowFormula>
    </tableColumn>
    <tableColumn id="2" xr3:uid="{C4788CD5-CC2B-4051-8546-4806598E6B37}" name="Budget" totalsRowFunction="custom" dataDxfId="230" totalsRowDxfId="229" dataCellStyle="Comma">
      <totalsRowFormula>SUBTOTAL(9,Table6263748[Budget])</totalsRowFormula>
    </tableColumn>
    <tableColumn id="3" xr3:uid="{E5B02AA0-396E-4223-985B-EE18B8CE67CE}" name="Actual" totalsRowFunction="custom" dataDxfId="228" totalsRowDxfId="227" dataCellStyle="Comma">
      <totalsRowFormula>SUBTOTAL(9,Table6263748[Actual])</totalsRowFormula>
    </tableColumn>
    <tableColumn id="4" xr3:uid="{4B22F766-5D4D-430B-9946-8C0665FEAAD6}" name="Difference" totalsRowFunction="custom" dataDxfId="226" totalsRowDxfId="225" dataCellStyle="Comma">
      <calculatedColumnFormula>G11-H11</calculatedColumnFormula>
      <totalsRowFormula>SUBTOTAL(9,Table6263748[Difference])</totalsRowFormula>
    </tableColumn>
  </tableColumns>
  <tableStyleInfo name="V42_ExpenseTable" showFirstColumn="0" showLastColumn="1" showRowStripes="0"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AB1B7509-FB76-43A6-8B17-D7592362A8F1}" name="Table7273849" displayName="Table7273849" ref="F22:I37" totalsRowCount="1" headerRowDxfId="224" dataDxfId="222" headerRowBorderDxfId="223" tableBorderDxfId="221">
  <tableColumns count="4">
    <tableColumn id="1" xr3:uid="{BC21E3C9-66EB-4E27-B27F-729D8CA4AC75}" name="ENTERTAINMENT" totalsRowFunction="custom" dataDxfId="220" totalsRowDxfId="219">
      <totalsRowFormula>"Total " &amp; Table7273849[[#Headers],[ENTERTAINMENT]]</totalsRowFormula>
    </tableColumn>
    <tableColumn id="2" xr3:uid="{2AD875CF-3F73-4099-8BB1-804068F37B80}" name="Budget" totalsRowFunction="custom" dataDxfId="218" totalsRowDxfId="217" dataCellStyle="Comma">
      <totalsRowFormula>SUBTOTAL(9,Table7273849[Budget])</totalsRowFormula>
    </tableColumn>
    <tableColumn id="3" xr3:uid="{23EDA3B1-59BB-4719-BF3B-58AC5A2B4533}" name="Actual" totalsRowFunction="custom" dataDxfId="216" totalsRowDxfId="215" dataCellStyle="Comma">
      <totalsRowFormula>SUBTOTAL(9,Table7273849[Actual])</totalsRowFormula>
    </tableColumn>
    <tableColumn id="4" xr3:uid="{AA27F554-B2E7-412B-A44F-FF044399C8BA}" name="Difference" totalsRowFunction="custom" dataDxfId="214" totalsRowDxfId="213" dataCellStyle="Comma">
      <calculatedColumnFormula>G23-H23</calculatedColumnFormula>
      <totalsRowFormula>SUBTOTAL(9,Table7273849[Difference])</totalsRowFormula>
    </tableColumn>
  </tableColumns>
  <tableStyleInfo name="V42_ExpenseTable" showFirstColumn="0" showLastColumn="1" showRowStripes="0"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BB1B35F-BA8B-4718-8D9B-FDEBB8FA8788}" name="Table8283950" displayName="Table8283950" ref="F39:I46" totalsRowCount="1" headerRowDxfId="212" dataDxfId="210" headerRowBorderDxfId="211" tableBorderDxfId="209">
  <tableColumns count="4">
    <tableColumn id="1" xr3:uid="{A86CEE2A-4A48-4955-AA2C-BCC868DA3758}" name="SAVINGS" totalsRowFunction="custom" dataDxfId="208" totalsRowDxfId="207">
      <totalsRowFormula>"Total " &amp; Table8283950[[#Headers],[SAVINGS]]</totalsRowFormula>
    </tableColumn>
    <tableColumn id="2" xr3:uid="{E1474E27-D76D-4A8C-8836-2CE73A573B7D}" name="Budget" totalsRowFunction="custom" dataDxfId="206" totalsRowDxfId="205">
      <totalsRowFormula>SUBTOTAL(9,Table8283950[Budget])</totalsRowFormula>
    </tableColumn>
    <tableColumn id="3" xr3:uid="{84765A78-C164-497D-9FFA-0BB30490B2E4}" name="Actual" totalsRowFunction="custom" dataDxfId="204" totalsRowDxfId="203">
      <totalsRowFormula>SUBTOTAL(9,Table8283950[Actual])</totalsRowFormula>
    </tableColumn>
    <tableColumn id="4" xr3:uid="{C26A86DD-5C98-4290-B47A-091FBC0AE097}" name="Difference" totalsRowFunction="custom" dataDxfId="202" totalsRowDxfId="201" dataCellStyle="Comma">
      <calculatedColumnFormula>G40-H40</calculatedColumnFormula>
      <totalsRowFormula>SUBTOTAL(9,Table8283950[Difference])</totalsRowFormula>
    </tableColumn>
  </tableColumns>
  <tableStyleInfo name="V42_ExpenseTable" showFirstColumn="0" showLastColumn="1"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E521078-ECC6-4FD8-8C73-9A21E293AB60}" name="Table812" displayName="Table812" ref="F39:I46" totalsRowCount="1" headerRowDxfId="732" dataDxfId="730" headerRowBorderDxfId="731" tableBorderDxfId="729">
  <tableColumns count="4">
    <tableColumn id="1" xr3:uid="{DDBD1C57-60CF-467C-9E9D-F1FA766457C0}" name="SAVINGS" totalsRowFunction="custom" dataDxfId="728" totalsRowDxfId="727">
      <totalsRowFormula>"Total " &amp; Table812[[#Headers],[SAVINGS]]</totalsRowFormula>
    </tableColumn>
    <tableColumn id="2" xr3:uid="{8503DC06-297B-494F-9F64-7676F5F35C9A}" name="Budget" totalsRowFunction="custom" dataDxfId="726" totalsRowDxfId="725">
      <totalsRowFormula>SUBTOTAL(9,Table812[Budget])</totalsRowFormula>
    </tableColumn>
    <tableColumn id="3" xr3:uid="{C96ACC1D-98C9-486B-8CFC-1D83AE8FF557}" name="Actual" totalsRowFunction="custom" dataDxfId="724" totalsRowDxfId="723">
      <totalsRowFormula>SUBTOTAL(9,Table812[Actual])</totalsRowFormula>
    </tableColumn>
    <tableColumn id="4" xr3:uid="{602FE4BB-F38A-4BC8-9219-B38739A18667}" name="Difference" totalsRowFunction="custom" dataDxfId="722" totalsRowDxfId="721" dataCellStyle="Comma">
      <calculatedColumnFormula>G40-H40</calculatedColumnFormula>
      <totalsRowFormula>SUBTOTAL(9,Table812[Difference])</totalsRowFormula>
    </tableColumn>
  </tableColumns>
  <tableStyleInfo name="V42_ExpenseTable" showFirstColumn="0" showLastColumn="1" showRowStripes="0"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E9BB6402-B083-4B0F-BC25-DF54C48417E0}" name="Table10294051" displayName="Table10294051" ref="F48:I56" totalsRowCount="1" headerRowDxfId="200" dataDxfId="198" headerRowBorderDxfId="199">
  <tableColumns count="4">
    <tableColumn id="1" xr3:uid="{058AAF8B-8A42-4745-A30E-E1B57B978594}" name="OBLIGATIONS" totalsRowFunction="custom" dataDxfId="197" totalsRowDxfId="196">
      <totalsRowFormula>"Total " &amp; Table10294051[[#Headers],[OBLIGATIONS]]</totalsRowFormula>
    </tableColumn>
    <tableColumn id="2" xr3:uid="{4F78B802-697D-4B42-ACF4-A29B114F8233}" name="Budget" totalsRowFunction="custom" dataDxfId="195" totalsRowDxfId="194" dataCellStyle="Comma">
      <totalsRowFormula>SUBTOTAL(9,Table10294051[Budget])</totalsRowFormula>
    </tableColumn>
    <tableColumn id="3" xr3:uid="{10238C3C-BAA7-4390-B612-192A37D018D0}" name="Actual" totalsRowFunction="custom" dataDxfId="193" totalsRowDxfId="192" dataCellStyle="Comma">
      <totalsRowFormula>SUBTOTAL(9,Table10294051[Actual])</totalsRowFormula>
    </tableColumn>
    <tableColumn id="4" xr3:uid="{3758D375-21B6-42ED-ABCE-6A20ACEF5F7E}" name="Difference" totalsRowFunction="custom" dataDxfId="191" totalsRowDxfId="190" dataCellStyle="Comma">
      <calculatedColumnFormula>G49-H49</calculatedColumnFormula>
      <totalsRowFormula>SUBTOTAL(9,Table10294051[Difference])</totalsRowFormula>
    </tableColumn>
  </tableColumns>
  <tableStyleInfo name="V42_ExpenseTable" showFirstColumn="0" showLastColumn="1" showRowStripes="0"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5FA2B98F-BD36-403E-A921-E76D7F92783E}" name="Table14304152" displayName="Table14304152" ref="F58:I63" totalsRowCount="1" headerRowDxfId="189" dataDxfId="187" headerRowBorderDxfId="188" tableBorderDxfId="186">
  <tableColumns count="4">
    <tableColumn id="1" xr3:uid="{0CB3B22E-2366-4C4A-A691-B45C49CCA9CE}" name="MISCELLANEOUS" totalsRowFunction="custom" dataDxfId="185" totalsRowDxfId="184">
      <totalsRowFormula>"Total " &amp; Table14304152[[#Headers],[MISCELLANEOUS]]</totalsRowFormula>
    </tableColumn>
    <tableColumn id="2" xr3:uid="{35ED377F-9114-493F-995D-C672CBC2A046}" name="Budget" totalsRowFunction="custom" dataDxfId="183" totalsRowDxfId="182" dataCellStyle="Comma">
      <totalsRowFormula>SUBTOTAL(9,Table14304152[Budget])</totalsRowFormula>
    </tableColumn>
    <tableColumn id="3" xr3:uid="{6A63A6FC-5765-4E7B-96F3-B04FEB0A54E9}" name="Actual" totalsRowFunction="custom" dataDxfId="181" totalsRowDxfId="180" dataCellStyle="Comma">
      <totalsRowFormula>SUBTOTAL(9,Table14304152[Actual])</totalsRowFormula>
    </tableColumn>
    <tableColumn id="4" xr3:uid="{E2F26F65-BA5D-4ED8-BF22-73C85F8D71B7}" name="Difference" totalsRowFunction="custom" dataDxfId="179" totalsRowDxfId="178" dataCellStyle="Comma">
      <calculatedColumnFormula>G59-H59</calculatedColumnFormula>
      <totalsRowFormula>SUBTOTAL(9,Table14304152[Difference])</totalsRowFormula>
    </tableColumn>
  </tableColumns>
  <tableStyleInfo name="V42_ExpenseTable" showFirstColumn="0" showLastColumn="1" showRowStripes="0"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3221457B-F700-4190-8C14-A5032B5A32CE}" name="Table15314253" displayName="Table15314253" ref="A58:D63" totalsRowCount="1" headerRowDxfId="177" dataDxfId="175" headerRowBorderDxfId="176" tableBorderDxfId="174">
  <tableColumns count="4">
    <tableColumn id="1" xr3:uid="{9727A865-7637-44F2-A687-9514C72A16BB}" name="SUBSCRIPTIONS" totalsRowFunction="custom" dataDxfId="173" totalsRowDxfId="172">
      <totalsRowFormula>"Total " &amp; Table15314253[[#Headers],[SUBSCRIPTIONS]]</totalsRowFormula>
    </tableColumn>
    <tableColumn id="2" xr3:uid="{69D68FDA-EB47-4D47-87A6-8F1A4E4E680A}" name="Budget" totalsRowFunction="custom" dataDxfId="171" totalsRowDxfId="170" dataCellStyle="Comma">
      <totalsRowFormula>SUBTOTAL(9,Table15314253[Budget])</totalsRowFormula>
    </tableColumn>
    <tableColumn id="3" xr3:uid="{3F4A0F8D-A935-44B2-9945-9AF817D8AD19}" name="Actual" totalsRowFunction="custom" dataDxfId="169" totalsRowDxfId="168" dataCellStyle="Comma">
      <totalsRowFormula>SUBTOTAL(9,Table15314253[Actual])</totalsRowFormula>
    </tableColumn>
    <tableColumn id="4" xr3:uid="{3E59150D-86EF-466B-B6A2-2E4DA224280A}" name="Difference" totalsRowFunction="custom" dataDxfId="167" totalsRowDxfId="166" dataCellStyle="Comma">
      <calculatedColumnFormula>B59-C59</calculatedColumnFormula>
      <totalsRowFormula>SUBTOTAL(9,Table15314253[Difference])</totalsRowFormula>
    </tableColumn>
  </tableColumns>
  <tableStyleInfo name="V42_ExpenseTable" showFirstColumn="0" showLastColumn="1" showRowStripes="0"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EDD3E8D8-9EFA-4F63-A2E1-DD3014486AF9}" name="Table19324354" displayName="Table19324354" ref="A51:D56" totalsRowCount="1" headerRowDxfId="165" dataDxfId="163" headerRowBorderDxfId="164" tableBorderDxfId="162">
  <tableColumns count="4">
    <tableColumn id="1" xr3:uid="{EDAE4358-1E7C-4814-A64B-8BFCD0A4A064}" name="CHARITY/GIFTS" totalsRowFunction="custom" dataDxfId="161" totalsRowDxfId="160">
      <totalsRowFormula>"Total " &amp; Table19324354[[#Headers],[CHARITY/GIFTS]]</totalsRowFormula>
    </tableColumn>
    <tableColumn id="2" xr3:uid="{1EC846E5-D099-4A89-9C8D-1FAAFC7BBD8E}" name="Budget" totalsRowFunction="custom" dataDxfId="159" totalsRowDxfId="158" dataCellStyle="Comma">
      <totalsRowFormula>SUBTOTAL(9,Table19324354[Budget])</totalsRowFormula>
    </tableColumn>
    <tableColumn id="3" xr3:uid="{BB59D0EA-D61A-4803-A913-11EBFFE171EF}" name="Actual" totalsRowFunction="custom" dataDxfId="157" totalsRowDxfId="156" dataCellStyle="Comma">
      <totalsRowFormula>SUBTOTAL(9,Table19324354[Actual])</totalsRowFormula>
    </tableColumn>
    <tableColumn id="4" xr3:uid="{E8D13DC4-5A8D-4374-9F6F-0EB0B3595821}" name="Difference" totalsRowFunction="custom" dataDxfId="155" totalsRowDxfId="154" dataCellStyle="Comma">
      <calculatedColumnFormula>B52-C52</calculatedColumnFormula>
      <totalsRowFormula>SUBTOTAL(9,Table19324354[Difference])</totalsRowFormula>
    </tableColumn>
  </tableColumns>
  <tableStyleInfo name="V42_ExpenseTable" showFirstColumn="0" showLastColumn="1" showRowStripes="0"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64C88F01-C5F6-43F4-A692-DD26C9C84001}" name="Table20334455" displayName="Table20334455" ref="A31:D39" totalsRowCount="1" headerRowDxfId="153" dataDxfId="151" headerRowBorderDxfId="152" tableBorderDxfId="150">
  <tableColumns count="4">
    <tableColumn id="1" xr3:uid="{D7A23C71-E0AA-4823-93AD-77AA2D62D7A1}" name="TRANSPORTATION" totalsRowFunction="custom" dataDxfId="149" totalsRowDxfId="148">
      <totalsRowFormula>"Total " &amp; Table20334455[[#Headers],[TRANSPORTATION]]</totalsRowFormula>
    </tableColumn>
    <tableColumn id="2" xr3:uid="{F4B646B6-81F5-4143-ADA7-3630478B749A}" name="Budget" totalsRowFunction="custom" dataDxfId="147" totalsRowDxfId="146" dataCellStyle="Comma">
      <totalsRowFormula>SUBTOTAL(9,Table20334455[Budget])</totalsRowFormula>
    </tableColumn>
    <tableColumn id="3" xr3:uid="{D1865FA6-8C66-4D8D-8D35-0845C908E6BE}" name="Actual" totalsRowFunction="custom" dataDxfId="145" totalsRowDxfId="144" dataCellStyle="Comma">
      <totalsRowFormula>SUBTOTAL(9,Table20334455[Actual])</totalsRowFormula>
    </tableColumn>
    <tableColumn id="4" xr3:uid="{7726D19C-191B-485D-8254-79749CC2E839}" name="Difference" totalsRowFunction="custom" dataDxfId="143" totalsRowDxfId="142" dataCellStyle="Comma">
      <calculatedColumnFormula>B32-C32</calculatedColumnFormula>
      <totalsRowFormula>SUBTOTAL(9,Table20334455[Difference])</totalsRowFormula>
    </tableColumn>
  </tableColumns>
  <tableStyleInfo name="V42_ExpenseTable" showFirstColumn="0" showLastColumn="1" showRowStripes="0"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6F5BCFEC-DAA0-4C1C-8F09-BAB067528C8C}" name="Table21344556" displayName="Table21344556" ref="A41:D49" totalsRowCount="1" headerRowDxfId="141" dataDxfId="139" headerRowBorderDxfId="140" tableBorderDxfId="138">
  <tableColumns count="4">
    <tableColumn id="1" xr3:uid="{F2B478EE-2A3A-4D4C-B3B4-00D99AA237D2}" name="HEALTH" totalsRowFunction="custom" dataDxfId="137" totalsRowDxfId="136">
      <totalsRowFormula>"Total " &amp; Table21344556[[#Headers],[HEALTH]]</totalsRowFormula>
    </tableColumn>
    <tableColumn id="2" xr3:uid="{54B7C4F0-BA95-4487-AE4B-F9C0F81908BF}" name="Budget" totalsRowFunction="custom" dataDxfId="135" totalsRowDxfId="134" dataCellStyle="Comma">
      <totalsRowFormula>SUBTOTAL(9,Table21344556[Budget])</totalsRowFormula>
    </tableColumn>
    <tableColumn id="3" xr3:uid="{40D59FC3-16D6-4277-87C5-056D98F10649}" name="Actual" totalsRowFunction="custom" dataDxfId="133" totalsRowDxfId="132" dataCellStyle="Comma">
      <totalsRowFormula>SUBTOTAL(9,Table21344556[Actual])</totalsRowFormula>
    </tableColumn>
    <tableColumn id="4" xr3:uid="{CB784519-3DF0-4A31-931C-B497381ED11E}" name="Difference" totalsRowFunction="custom" dataDxfId="131" totalsRowDxfId="130" dataCellStyle="Comma">
      <calculatedColumnFormula>B42-C42</calculatedColumnFormula>
      <totalsRowFormula>SUBTOTAL(9,Table21344556[Difference])</totalsRowFormula>
    </tableColumn>
  </tableColumns>
  <tableStyleInfo name="V42_ExpenseTable" showFirstColumn="0" showLastColumn="1" showRowStripes="0"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92ACB2FA-542D-4F1B-9DBF-91026DEF51AB}" name="Table224354657" displayName="Table224354657" ref="A4:D13" totalsRowCount="1" headerRowDxfId="128" dataDxfId="127" headerRowBorderDxfId="125" tableBorderDxfId="126">
  <tableColumns count="4">
    <tableColumn id="1" xr3:uid="{99712A9E-9CB3-48A4-B0DC-9F5A11A0EC3D}" name="INCOME" totalsRowFunction="custom" totalsRowDxfId="124">
      <totalsRowFormula>"Total " &amp; Table224354657[[#Headers],[INCOME]]</totalsRowFormula>
    </tableColumn>
    <tableColumn id="2" xr3:uid="{327CB163-70EE-40BC-9CAA-9B06F1D692A6}" name="Budget" totalsRowFunction="custom" dataDxfId="122" totalsRowDxfId="123" dataCellStyle="Comma">
      <totalsRowFormula>SUBTOTAL(9,Table224354657[Budget])</totalsRowFormula>
    </tableColumn>
    <tableColumn id="3" xr3:uid="{B253C887-D5F9-4A62-AEEF-F18310A1080F}" name="Actual" totalsRowFunction="custom" dataDxfId="120" totalsRowDxfId="121" dataCellStyle="Comma">
      <totalsRowFormula>SUBTOTAL(9,Table224354657[Actual])</totalsRowFormula>
    </tableColumn>
    <tableColumn id="4" xr3:uid="{786B6C7F-8994-4B6E-B26B-192A5DEBECAD}" name="Difference" totalsRowFunction="custom" totalsRowDxfId="119" dataCellStyle="Comma">
      <calculatedColumnFormula>C5-B5</calculatedColumnFormula>
      <totalsRowFormula>SUBTOTAL(9,Table224354657[Difference])</totalsRowFormula>
    </tableColumn>
  </tableColumns>
  <tableStyleInfo name="V42_IncomeTable" showFirstColumn="0" showLastColumn="1" showRowStripes="0"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AC2F255D-3197-48AA-974A-C82FA4CBC319}" name="Table525364758" displayName="Table525364758" ref="A15:D29" totalsRowCount="1" headerRowDxfId="118" dataDxfId="117" headerRowBorderDxfId="115" tableBorderDxfId="116">
  <tableColumns count="4">
    <tableColumn id="1" xr3:uid="{A355F96D-2EAE-480C-B9A0-265D8051C925}" name="HOME EXPENSES" totalsRowFunction="custom" dataDxfId="113" totalsRowDxfId="114">
      <totalsRowFormula>"Total " &amp; Table525364758[[#Headers],[HOME EXPENSES]]</totalsRowFormula>
    </tableColumn>
    <tableColumn id="2" xr3:uid="{908FF656-63BB-4003-BA38-58677D7A16F3}" name="Budget" totalsRowLabel="0.00" dataDxfId="111" totalsRowDxfId="112" dataCellStyle="Comma"/>
    <tableColumn id="3" xr3:uid="{686435CE-9281-4F34-BF8E-D0ED54139386}" name="Actual" totalsRowLabel="0.00" dataDxfId="109" totalsRowDxfId="110" dataCellStyle="Comma"/>
    <tableColumn id="4" xr3:uid="{B04755A8-C247-4F05-B01A-30F0145F90B2}" name="Difference" dataDxfId="107" totalsRowDxfId="108" dataCellStyle="Comma"/>
  </tableColumns>
  <tableStyleInfo name="V42_ExpenseTable" showFirstColumn="0" showLastColumn="1" showRowStripes="0"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AD1DDA32-EB6E-4FFD-92AC-D0DE4F5E2391}" name="Table626374859" displayName="Table626374859" ref="F10:I20" totalsRowCount="1" headerRowDxfId="106" dataDxfId="105" headerRowBorderDxfId="103" tableBorderDxfId="104">
  <tableColumns count="4">
    <tableColumn id="1" xr3:uid="{D1113047-8554-4E03-9D52-29250C545531}" name="DAILY LIVING" totalsRowFunction="custom" dataDxfId="101" totalsRowDxfId="102">
      <totalsRowFormula>"Total " &amp; Table626374859[[#Headers],[DAILY LIVING]]</totalsRowFormula>
    </tableColumn>
    <tableColumn id="2" xr3:uid="{268FCD21-D005-48B8-A74F-95F9C39AF538}" name="Budget" totalsRowFunction="custom" dataDxfId="99" totalsRowDxfId="100" dataCellStyle="Comma">
      <totalsRowFormula>SUBTOTAL(9,Table626374859[Budget])</totalsRowFormula>
    </tableColumn>
    <tableColumn id="3" xr3:uid="{D4055BF4-9A64-4628-B289-10A2D46801CC}" name="Actual" totalsRowFunction="custom" dataDxfId="97" totalsRowDxfId="98" dataCellStyle="Comma">
      <totalsRowFormula>SUBTOTAL(9,Table626374859[Actual])</totalsRowFormula>
    </tableColumn>
    <tableColumn id="4" xr3:uid="{8FF4711C-5935-4FB6-B78D-9ABFF6B0F163}" name="Difference" totalsRowFunction="custom" dataDxfId="95" totalsRowDxfId="96" dataCellStyle="Comma">
      <calculatedColumnFormula>G11-H11</calculatedColumnFormula>
      <totalsRowFormula>SUBTOTAL(9,Table626374859[Difference])</totalsRowFormula>
    </tableColumn>
  </tableColumns>
  <tableStyleInfo name="V42_ExpenseTable" showFirstColumn="0" showLastColumn="1" showRowStripes="0"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78D7F3B9-DE04-4124-8F22-C30B7A9F2F08}" name="Table727384960" displayName="Table727384960" ref="F22:I37" totalsRowCount="1" headerRowDxfId="94" dataDxfId="93" headerRowBorderDxfId="91" tableBorderDxfId="92">
  <tableColumns count="4">
    <tableColumn id="1" xr3:uid="{7C84E073-F1E8-4561-AAB0-CED8E0975383}" name="ENTERTAINMENT" totalsRowFunction="custom" dataDxfId="89" totalsRowDxfId="90">
      <totalsRowFormula>"Total " &amp; Table727384960[[#Headers],[ENTERTAINMENT]]</totalsRowFormula>
    </tableColumn>
    <tableColumn id="2" xr3:uid="{8A084903-842B-4F0E-9AF1-26BA3E8D96C4}" name="Budget" totalsRowFunction="custom" dataDxfId="87" totalsRowDxfId="88" dataCellStyle="Comma">
      <totalsRowFormula>SUBTOTAL(9,Table727384960[Budget])</totalsRowFormula>
    </tableColumn>
    <tableColumn id="3" xr3:uid="{EA3E26F0-640A-4E8A-A0C1-60B7C4437AD7}" name="Actual" totalsRowFunction="custom" dataDxfId="85" totalsRowDxfId="86" dataCellStyle="Comma">
      <totalsRowFormula>SUBTOTAL(9,Table727384960[Actual])</totalsRowFormula>
    </tableColumn>
    <tableColumn id="4" xr3:uid="{4A26FB2E-76E9-4A9B-B032-24258E9EC221}" name="Difference" totalsRowFunction="custom" dataDxfId="83" totalsRowDxfId="84" dataCellStyle="Comma">
      <calculatedColumnFormula>G23-H23</calculatedColumnFormula>
      <totalsRowFormula>SUBTOTAL(9,Table727384960[Difference])</totalsRowFormula>
    </tableColumn>
  </tableColumns>
  <tableStyleInfo name="V42_ExpenseTable" showFirstColumn="0" showLastColumn="1"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57B8E35-94B4-442D-8C71-731B3724F83F}" name="Table1013" displayName="Table1013" ref="F48:I56" totalsRowCount="1" headerRowDxfId="720" dataDxfId="718" headerRowBorderDxfId="719">
  <tableColumns count="4">
    <tableColumn id="1" xr3:uid="{E9CD7C1C-678E-47FB-B97F-621E108E5C93}" name="OBLIGATIONS" totalsRowFunction="custom" dataDxfId="717" totalsRowDxfId="716">
      <totalsRowFormula>"Total " &amp; Table1013[[#Headers],[OBLIGATIONS]]</totalsRowFormula>
    </tableColumn>
    <tableColumn id="2" xr3:uid="{BFEFB11E-1A2B-44F3-AA46-87A18D1A6274}" name="Budget" totalsRowFunction="custom" dataDxfId="715" totalsRowDxfId="714" dataCellStyle="Comma">
      <totalsRowFormula>SUBTOTAL(9,Table1013[Budget])</totalsRowFormula>
    </tableColumn>
    <tableColumn id="3" xr3:uid="{2B7A9B26-BB59-4563-B002-8BD164A13595}" name="Actual" totalsRowFunction="custom" dataDxfId="713" totalsRowDxfId="712" dataCellStyle="Comma">
      <totalsRowFormula>SUBTOTAL(9,Table1013[Actual])</totalsRowFormula>
    </tableColumn>
    <tableColumn id="4" xr3:uid="{FE62CF8E-0071-4E59-8F8A-127887AAD939}" name="Difference" totalsRowFunction="custom" dataDxfId="711" totalsRowDxfId="710" dataCellStyle="Comma">
      <calculatedColumnFormula>G49-H49</calculatedColumnFormula>
      <totalsRowFormula>SUBTOTAL(9,Table1013[Difference])</totalsRowFormula>
    </tableColumn>
  </tableColumns>
  <tableStyleInfo name="V42_ExpenseTable" showFirstColumn="0" showLastColumn="1" showRowStripes="0"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78D98545-E287-4242-9C26-40F0CF89C84A}" name="Table828395061" displayName="Table828395061" ref="F39:I46" totalsRowCount="1" headerRowDxfId="82" dataDxfId="81" headerRowBorderDxfId="79" tableBorderDxfId="80">
  <tableColumns count="4">
    <tableColumn id="1" xr3:uid="{DCE65A03-2360-443A-89BC-FCEBADB507C0}" name="SAVINGS" totalsRowFunction="custom" dataDxfId="77" totalsRowDxfId="78">
      <totalsRowFormula>"Total " &amp; Table828395061[[#Headers],[SAVINGS]]</totalsRowFormula>
    </tableColumn>
    <tableColumn id="2" xr3:uid="{8185E51B-F48C-4DF6-A283-E5DEDA306399}" name="Budget" totalsRowFunction="custom" dataDxfId="75" totalsRowDxfId="76">
      <totalsRowFormula>SUBTOTAL(9,Table828395061[Budget])</totalsRowFormula>
    </tableColumn>
    <tableColumn id="3" xr3:uid="{05CAB1C9-688D-499F-89AA-13DEADF7D688}" name="Actual" totalsRowFunction="custom" dataDxfId="73" totalsRowDxfId="74">
      <totalsRowFormula>SUBTOTAL(9,Table828395061[Actual])</totalsRowFormula>
    </tableColumn>
    <tableColumn id="4" xr3:uid="{0CB38095-2CC9-4EB0-9807-F95AE947805F}" name="Difference" totalsRowFunction="custom" dataDxfId="71" totalsRowDxfId="72" dataCellStyle="Comma">
      <calculatedColumnFormula>G40-H40</calculatedColumnFormula>
      <totalsRowFormula>SUBTOTAL(9,Table828395061[Difference])</totalsRowFormula>
    </tableColumn>
  </tableColumns>
  <tableStyleInfo name="V42_ExpenseTable" showFirstColumn="0" showLastColumn="1" showRowStripes="0"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B62009A6-8A21-483C-A0E7-F1894E3FD3FB}" name="Table1029405162" displayName="Table1029405162" ref="F48:I56" totalsRowCount="1" headerRowDxfId="70" dataDxfId="69" headerRowBorderDxfId="68">
  <tableColumns count="4">
    <tableColumn id="1" xr3:uid="{84A164AE-DC32-4DC0-9C49-C7E5D49E0A37}" name="OBLIGATIONS" totalsRowFunction="custom" dataDxfId="66" totalsRowDxfId="67">
      <totalsRowFormula>"Total " &amp; Table1029405162[[#Headers],[OBLIGATIONS]]</totalsRowFormula>
    </tableColumn>
    <tableColumn id="2" xr3:uid="{57801DD8-1A09-486B-88E8-D51B91202A51}" name="Budget" totalsRowFunction="custom" dataDxfId="64" totalsRowDxfId="65" dataCellStyle="Comma">
      <totalsRowFormula>SUBTOTAL(9,Table1029405162[Budget])</totalsRowFormula>
    </tableColumn>
    <tableColumn id="3" xr3:uid="{B922E85D-4D74-4EAE-8F1B-97282676C9EC}" name="Actual" totalsRowFunction="custom" dataDxfId="62" totalsRowDxfId="63" dataCellStyle="Comma">
      <totalsRowFormula>SUBTOTAL(9,Table1029405162[Actual])</totalsRowFormula>
    </tableColumn>
    <tableColumn id="4" xr3:uid="{B2AD2626-6B61-45FE-8CA2-7CB2E542EFD5}" name="Difference" totalsRowFunction="custom" dataDxfId="60" totalsRowDxfId="61" dataCellStyle="Comma">
      <calculatedColumnFormula>G49-H49</calculatedColumnFormula>
      <totalsRowFormula>SUBTOTAL(9,Table1029405162[Difference])</totalsRowFormula>
    </tableColumn>
  </tableColumns>
  <tableStyleInfo name="V42_ExpenseTable" showFirstColumn="0" showLastColumn="1" showRowStripes="0"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DEC85B30-0ED2-4356-BB75-519B3128623B}" name="Table1430415263" displayName="Table1430415263" ref="F58:I63" totalsRowCount="1" headerRowDxfId="59" dataDxfId="58" headerRowBorderDxfId="56" tableBorderDxfId="57">
  <tableColumns count="4">
    <tableColumn id="1" xr3:uid="{26A825B5-CB3D-4086-A68D-6DEB3D8CE736}" name="MISCELLANEOUS" totalsRowFunction="custom" dataDxfId="54" totalsRowDxfId="55">
      <totalsRowFormula>"Total " &amp; Table1430415263[[#Headers],[MISCELLANEOUS]]</totalsRowFormula>
    </tableColumn>
    <tableColumn id="2" xr3:uid="{D1A8C03D-6377-4BA4-876C-053E21D67E7C}" name="Budget" totalsRowFunction="custom" dataDxfId="52" totalsRowDxfId="53" dataCellStyle="Comma">
      <totalsRowFormula>SUBTOTAL(9,Table1430415263[Budget])</totalsRowFormula>
    </tableColumn>
    <tableColumn id="3" xr3:uid="{A2A5496F-5BCB-491B-BA12-CAE4CF46F854}" name="Actual" totalsRowFunction="custom" dataDxfId="50" totalsRowDxfId="51" dataCellStyle="Comma">
      <totalsRowFormula>SUBTOTAL(9,Table1430415263[Actual])</totalsRowFormula>
    </tableColumn>
    <tableColumn id="4" xr3:uid="{DA66C616-8539-4E12-B760-73D6A23FC956}" name="Difference" totalsRowFunction="custom" dataDxfId="48" totalsRowDxfId="49" dataCellStyle="Comma">
      <calculatedColumnFormula>G59-H59</calculatedColumnFormula>
      <totalsRowFormula>SUBTOTAL(9,Table1430415263[Difference])</totalsRowFormula>
    </tableColumn>
  </tableColumns>
  <tableStyleInfo name="V42_ExpenseTable" showFirstColumn="0" showLastColumn="1" showRowStripes="0"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42F4220D-FE59-4FDF-B4AF-2E8BDAD4F405}" name="Table1531425364" displayName="Table1531425364" ref="A58:D63" totalsRowCount="1" headerRowDxfId="47" dataDxfId="46" headerRowBorderDxfId="44" tableBorderDxfId="45">
  <tableColumns count="4">
    <tableColumn id="1" xr3:uid="{00118E78-0B28-4996-8D63-04862F725987}" name="SUBSCRIPTIONS" totalsRowFunction="custom" dataDxfId="42" totalsRowDxfId="43">
      <totalsRowFormula>"Total " &amp; Table1531425364[[#Headers],[SUBSCRIPTIONS]]</totalsRowFormula>
    </tableColumn>
    <tableColumn id="2" xr3:uid="{95DE5977-1117-4405-9CB0-613777B260F4}" name="Budget" totalsRowFunction="custom" dataDxfId="40" totalsRowDxfId="41" dataCellStyle="Comma">
      <totalsRowFormula>SUBTOTAL(9,Table1531425364[Budget])</totalsRowFormula>
    </tableColumn>
    <tableColumn id="3" xr3:uid="{53D3D4FB-348D-4F0E-BEF6-5EADF4E52701}" name="Actual" totalsRowFunction="custom" dataDxfId="38" totalsRowDxfId="39" dataCellStyle="Comma">
      <totalsRowFormula>SUBTOTAL(9,Table1531425364[Actual])</totalsRowFormula>
    </tableColumn>
    <tableColumn id="4" xr3:uid="{9A9E4137-C26E-465E-9C9F-657FC1C1AEB8}" name="Difference" totalsRowFunction="custom" dataDxfId="36" totalsRowDxfId="37" dataCellStyle="Comma">
      <calculatedColumnFormula>B59-C59</calculatedColumnFormula>
      <totalsRowFormula>SUBTOTAL(9,Table1531425364[Difference])</totalsRowFormula>
    </tableColumn>
  </tableColumns>
  <tableStyleInfo name="V42_ExpenseTable" showFirstColumn="0" showLastColumn="1" showRowStripes="0"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D721E185-92D0-4C5A-9023-6EF16D4265FD}" name="Table1932435465" displayName="Table1932435465" ref="A51:D56" totalsRowCount="1" headerRowDxfId="35" dataDxfId="34" headerRowBorderDxfId="32" tableBorderDxfId="33">
  <tableColumns count="4">
    <tableColumn id="1" xr3:uid="{841D16E4-8CD1-4C46-8BC4-1E37E3263226}" name="CHARITY/GIFTS" totalsRowFunction="custom" dataDxfId="30" totalsRowDxfId="31">
      <totalsRowFormula>"Total " &amp; Table1932435465[[#Headers],[CHARITY/GIFTS]]</totalsRowFormula>
    </tableColumn>
    <tableColumn id="2" xr3:uid="{4ABABB1B-F051-4DDB-BA53-D6DB2117312D}" name="Budget" totalsRowFunction="custom" dataDxfId="28" totalsRowDxfId="29" dataCellStyle="Comma">
      <totalsRowFormula>SUBTOTAL(9,Table1932435465[Budget])</totalsRowFormula>
    </tableColumn>
    <tableColumn id="3" xr3:uid="{D873B4B5-3653-49CE-B21E-B75D24643E32}" name="Actual" totalsRowFunction="custom" dataDxfId="26" totalsRowDxfId="27" dataCellStyle="Comma">
      <totalsRowFormula>SUBTOTAL(9,Table1932435465[Actual])</totalsRowFormula>
    </tableColumn>
    <tableColumn id="4" xr3:uid="{1D819539-AA46-43E6-BFB9-C7F76D7DDA30}" name="Difference" totalsRowFunction="custom" dataDxfId="24" totalsRowDxfId="25" dataCellStyle="Comma">
      <calculatedColumnFormula>B52-C52</calculatedColumnFormula>
      <totalsRowFormula>SUBTOTAL(9,Table1932435465[Difference])</totalsRowFormula>
    </tableColumn>
  </tableColumns>
  <tableStyleInfo name="V42_ExpenseTable" showFirstColumn="0" showLastColumn="1" showRowStripes="0"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E03C0D75-111B-4F4F-860A-283241C6F7F6}" name="Table2033445566" displayName="Table2033445566" ref="A31:D39" totalsRowCount="1" headerRowDxfId="23" dataDxfId="22" headerRowBorderDxfId="20" tableBorderDxfId="21">
  <tableColumns count="4">
    <tableColumn id="1" xr3:uid="{129446BE-4A6F-4BFF-A36E-0D907668F461}" name="TRANSPORTATION" totalsRowFunction="custom" dataDxfId="18" totalsRowDxfId="19">
      <totalsRowFormula>"Total " &amp; Table2033445566[[#Headers],[TRANSPORTATION]]</totalsRowFormula>
    </tableColumn>
    <tableColumn id="2" xr3:uid="{FC369E52-6D8F-41D4-9980-45CD8462C504}" name="Budget" totalsRowFunction="custom" dataDxfId="16" totalsRowDxfId="17" dataCellStyle="Comma">
      <totalsRowFormula>SUBTOTAL(9,Table2033445566[Budget])</totalsRowFormula>
    </tableColumn>
    <tableColumn id="3" xr3:uid="{9F406F1B-840D-49FF-B080-4C79C8558082}" name="Actual" totalsRowFunction="custom" dataDxfId="14" totalsRowDxfId="15" dataCellStyle="Comma">
      <totalsRowFormula>SUBTOTAL(9,Table2033445566[Actual])</totalsRowFormula>
    </tableColumn>
    <tableColumn id="4" xr3:uid="{E8F33E4F-3BD8-4932-BA13-DBF377E5D7E8}" name="Difference" totalsRowFunction="custom" dataDxfId="12" totalsRowDxfId="13" dataCellStyle="Comma">
      <calculatedColumnFormula>B32-C32</calculatedColumnFormula>
      <totalsRowFormula>SUBTOTAL(9,Table2033445566[Difference])</totalsRowFormula>
    </tableColumn>
  </tableColumns>
  <tableStyleInfo name="V42_ExpenseTable" showFirstColumn="0" showLastColumn="1" showRowStripes="0"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D200C272-F607-4E31-89BB-F90CFEDB8471}" name="Table2134455667" displayName="Table2134455667" ref="A41:D49" totalsRowCount="1" headerRowDxfId="11" dataDxfId="10" headerRowBorderDxfId="8" tableBorderDxfId="9">
  <tableColumns count="4">
    <tableColumn id="1" xr3:uid="{4C2B2EC7-CA9B-40D4-8113-5C65A9B2BBC0}" name="HEALTH" totalsRowFunction="custom" dataDxfId="6" totalsRowDxfId="7">
      <totalsRowFormula>"Total " &amp; Table2134455667[[#Headers],[HEALTH]]</totalsRowFormula>
    </tableColumn>
    <tableColumn id="2" xr3:uid="{E795CEA6-21D0-4FA9-B8B7-E6B06289C4C9}" name="Budget" totalsRowFunction="custom" dataDxfId="4" totalsRowDxfId="5" dataCellStyle="Comma">
      <totalsRowFormula>SUBTOTAL(9,Table2134455667[Budget])</totalsRowFormula>
    </tableColumn>
    <tableColumn id="3" xr3:uid="{96D74756-6352-4EBF-B724-C0CF8ED20F2D}" name="Actual" totalsRowFunction="custom" dataDxfId="2" totalsRowDxfId="3" dataCellStyle="Comma">
      <totalsRowFormula>SUBTOTAL(9,Table2134455667[Actual])</totalsRowFormula>
    </tableColumn>
    <tableColumn id="4" xr3:uid="{B24D35FE-F271-4A16-9C6A-B8C235D67E17}" name="Difference" totalsRowFunction="custom" dataDxfId="0" totalsRowDxfId="1" dataCellStyle="Comma">
      <calculatedColumnFormula>B42-C42</calculatedColumnFormula>
      <totalsRowFormula>SUBTOTAL(9,Table2134455667[Difference])</totalsRowFormula>
    </tableColumn>
  </tableColumns>
  <tableStyleInfo name="V42_ExpenseTable" showFirstColumn="0" showLastColumn="1"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FF593C5-4C43-4804-BE78-DD605026EBCD}" name="Table1414" displayName="Table1414" ref="F58:I63" totalsRowCount="1" headerRowDxfId="709" dataDxfId="707" headerRowBorderDxfId="708" tableBorderDxfId="706">
  <tableColumns count="4">
    <tableColumn id="1" xr3:uid="{E3E05071-88A2-47E6-BA4E-67427775E7A1}" name="MISCELLANEOUS" totalsRowFunction="custom" dataDxfId="705" totalsRowDxfId="704">
      <totalsRowFormula>"Total " &amp; Table1414[[#Headers],[MISCELLANEOUS]]</totalsRowFormula>
    </tableColumn>
    <tableColumn id="2" xr3:uid="{3137E442-000A-4D81-9765-2C8F7CF87FCE}" name="Budget" totalsRowFunction="custom" dataDxfId="703" totalsRowDxfId="702" dataCellStyle="Comma">
      <totalsRowFormula>SUBTOTAL(9,Table1414[Budget])</totalsRowFormula>
    </tableColumn>
    <tableColumn id="3" xr3:uid="{688F2520-30F7-4B05-8557-73A3344BF34B}" name="Actual" totalsRowFunction="custom" dataDxfId="701" totalsRowDxfId="700" dataCellStyle="Comma">
      <totalsRowFormula>SUBTOTAL(9,Table1414[Actual])</totalsRowFormula>
    </tableColumn>
    <tableColumn id="4" xr3:uid="{A5AE6DDD-568B-45B3-9B2B-D033C7FA7257}" name="Difference" totalsRowFunction="custom" dataDxfId="699" totalsRowDxfId="698" dataCellStyle="Comma">
      <calculatedColumnFormula>G59-H59</calculatedColumnFormula>
      <totalsRowFormula>SUBTOTAL(9,Table1414[Difference])</totalsRowFormula>
    </tableColumn>
  </tableColumns>
  <tableStyleInfo name="V42_ExpenseTable" showFirstColumn="0" showLastColumn="1"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856F3BC-FDD4-4252-B2A4-22930AA8585C}" name="Table1517" displayName="Table1517" ref="A58:D63" totalsRowCount="1" headerRowDxfId="697" dataDxfId="695" headerRowBorderDxfId="696" tableBorderDxfId="694">
  <tableColumns count="4">
    <tableColumn id="1" xr3:uid="{39A96C33-405B-450F-9389-2337DA3DCCC8}" name="SUBSCRIPTIONS" totalsRowFunction="custom" dataDxfId="693" totalsRowDxfId="692">
      <totalsRowFormula>"Total " &amp; Table1517[[#Headers],[SUBSCRIPTIONS]]</totalsRowFormula>
    </tableColumn>
    <tableColumn id="2" xr3:uid="{FA60B4F8-BDD1-4023-BDD6-77F1B9D96B53}" name="Budget" totalsRowFunction="custom" dataDxfId="691" totalsRowDxfId="690" dataCellStyle="Comma">
      <totalsRowFormula>SUBTOTAL(9,Table1517[Budget])</totalsRowFormula>
    </tableColumn>
    <tableColumn id="3" xr3:uid="{0F7BE5D9-7EF6-42E5-A623-8B4983A4C5DE}" name="Actual" totalsRowFunction="custom" dataDxfId="689" totalsRowDxfId="688" dataCellStyle="Comma">
      <totalsRowFormula>SUBTOTAL(9,Table1517[Actual])</totalsRowFormula>
    </tableColumn>
    <tableColumn id="4" xr3:uid="{C0D31360-DC00-4D3D-B5EE-C96B81539E20}" name="Difference" totalsRowFunction="custom" dataDxfId="687" totalsRowDxfId="686" dataCellStyle="Comma">
      <calculatedColumnFormula>B59-C59</calculatedColumnFormula>
      <totalsRowFormula>SUBTOTAL(9,Table1517[Difference])</totalsRowFormula>
    </tableColumn>
  </tableColumns>
  <tableStyleInfo name="V42_ExpenseTable" showFirstColumn="0" showLastColumn="1"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653C62C-959C-492A-99F8-89FCC22029E9}" name="Table1918" displayName="Table1918" ref="A51:D56" totalsRowCount="1" headerRowDxfId="685" dataDxfId="683" headerRowBorderDxfId="684" tableBorderDxfId="682">
  <tableColumns count="4">
    <tableColumn id="1" xr3:uid="{643FDE82-0619-431E-B5C3-C663CDF901CF}" name="CHARITY/GIFTS" totalsRowFunction="custom" dataDxfId="681" totalsRowDxfId="680">
      <totalsRowFormula>"Total " &amp; Table1918[[#Headers],[CHARITY/GIFTS]]</totalsRowFormula>
    </tableColumn>
    <tableColumn id="2" xr3:uid="{F363A6D9-4277-408C-9FDC-84C4A09A7BD1}" name="Budget" totalsRowFunction="custom" dataDxfId="679" totalsRowDxfId="678" dataCellStyle="Comma">
      <totalsRowFormula>SUBTOTAL(9,Table1918[Budget])</totalsRowFormula>
    </tableColumn>
    <tableColumn id="3" xr3:uid="{2B8C2A29-F26E-4B04-B8A2-3D70271ADBC7}" name="Actual" totalsRowFunction="custom" dataDxfId="677" totalsRowDxfId="676" dataCellStyle="Comma">
      <totalsRowFormula>SUBTOTAL(9,Table1918[Actual])</totalsRowFormula>
    </tableColumn>
    <tableColumn id="4" xr3:uid="{37E31DBD-550D-4B87-B720-1A21518A5B68}" name="Difference" totalsRowFunction="custom" dataDxfId="675" totalsRowDxfId="674" dataCellStyle="Comma">
      <calculatedColumnFormula>B52-C52</calculatedColumnFormula>
      <totalsRowFormula>SUBTOTAL(9,Table1918[Difference])</totalsRowFormula>
    </tableColumn>
  </tableColumns>
  <tableStyleInfo name="V42_ExpenseTable" showFirstColumn="0" showLastColumn="1" showRowStripes="0" showColumnStripes="0"/>
</table>
</file>

<file path=xl/theme/theme1.xml><?xml version="1.0" encoding="utf-8"?>
<a:theme xmlns:a="http://schemas.openxmlformats.org/drawingml/2006/main" name="Vertex42">
  <a:themeElements>
    <a:clrScheme name="V42-Blue2">
      <a:dk1>
        <a:sysClr val="windowText" lastClr="000000"/>
      </a:dk1>
      <a:lt1>
        <a:sysClr val="window" lastClr="FFFFFF"/>
      </a:lt1>
      <a:dk2>
        <a:srgbClr val="5E8BCE"/>
      </a:dk2>
      <a:lt2>
        <a:srgbClr val="EEECE2"/>
      </a:lt2>
      <a:accent1>
        <a:srgbClr val="3A5D9C"/>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7.xml"/><Relationship Id="rId13" Type="http://schemas.openxmlformats.org/officeDocument/2006/relationships/table" Target="../tables/table22.xml"/><Relationship Id="rId3" Type="http://schemas.openxmlformats.org/officeDocument/2006/relationships/table" Target="../tables/table12.xml"/><Relationship Id="rId7" Type="http://schemas.openxmlformats.org/officeDocument/2006/relationships/table" Target="../tables/table16.xml"/><Relationship Id="rId12" Type="http://schemas.openxmlformats.org/officeDocument/2006/relationships/table" Target="../tables/table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15.xml"/><Relationship Id="rId11" Type="http://schemas.openxmlformats.org/officeDocument/2006/relationships/table" Target="../tables/table20.xml"/><Relationship Id="rId5" Type="http://schemas.openxmlformats.org/officeDocument/2006/relationships/table" Target="../tables/table14.xml"/><Relationship Id="rId10" Type="http://schemas.openxmlformats.org/officeDocument/2006/relationships/table" Target="../tables/table19.xml"/><Relationship Id="rId4" Type="http://schemas.openxmlformats.org/officeDocument/2006/relationships/table" Target="../tables/table13.xml"/><Relationship Id="rId9" Type="http://schemas.openxmlformats.org/officeDocument/2006/relationships/table" Target="../tables/table18.xml"/></Relationships>
</file>

<file path=xl/worksheets/_rels/sheet3.xml.rels><?xml version="1.0" encoding="UTF-8" standalone="yes"?>
<Relationships xmlns="http://schemas.openxmlformats.org/package/2006/relationships"><Relationship Id="rId8" Type="http://schemas.openxmlformats.org/officeDocument/2006/relationships/table" Target="../tables/table28.xml"/><Relationship Id="rId13" Type="http://schemas.openxmlformats.org/officeDocument/2006/relationships/table" Target="../tables/table33.xml"/><Relationship Id="rId3" Type="http://schemas.openxmlformats.org/officeDocument/2006/relationships/table" Target="../tables/table23.xml"/><Relationship Id="rId7" Type="http://schemas.openxmlformats.org/officeDocument/2006/relationships/table" Target="../tables/table27.xml"/><Relationship Id="rId12" Type="http://schemas.openxmlformats.org/officeDocument/2006/relationships/table" Target="../tables/table3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26.xml"/><Relationship Id="rId11" Type="http://schemas.openxmlformats.org/officeDocument/2006/relationships/table" Target="../tables/table31.xml"/><Relationship Id="rId5" Type="http://schemas.openxmlformats.org/officeDocument/2006/relationships/table" Target="../tables/table25.xml"/><Relationship Id="rId10" Type="http://schemas.openxmlformats.org/officeDocument/2006/relationships/table" Target="../tables/table30.xml"/><Relationship Id="rId4" Type="http://schemas.openxmlformats.org/officeDocument/2006/relationships/table" Target="../tables/table24.xml"/><Relationship Id="rId9" Type="http://schemas.openxmlformats.org/officeDocument/2006/relationships/table" Target="../tables/table29.xml"/></Relationships>
</file>

<file path=xl/worksheets/_rels/sheet4.xml.rels><?xml version="1.0" encoding="UTF-8" standalone="yes"?>
<Relationships xmlns="http://schemas.openxmlformats.org/package/2006/relationships"><Relationship Id="rId8" Type="http://schemas.openxmlformats.org/officeDocument/2006/relationships/table" Target="../tables/table39.xml"/><Relationship Id="rId13" Type="http://schemas.openxmlformats.org/officeDocument/2006/relationships/table" Target="../tables/table44.xml"/><Relationship Id="rId3" Type="http://schemas.openxmlformats.org/officeDocument/2006/relationships/table" Target="../tables/table34.xml"/><Relationship Id="rId7" Type="http://schemas.openxmlformats.org/officeDocument/2006/relationships/table" Target="../tables/table38.xml"/><Relationship Id="rId12" Type="http://schemas.openxmlformats.org/officeDocument/2006/relationships/table" Target="../tables/table4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37.xml"/><Relationship Id="rId11" Type="http://schemas.openxmlformats.org/officeDocument/2006/relationships/table" Target="../tables/table42.xml"/><Relationship Id="rId5" Type="http://schemas.openxmlformats.org/officeDocument/2006/relationships/table" Target="../tables/table36.xml"/><Relationship Id="rId10" Type="http://schemas.openxmlformats.org/officeDocument/2006/relationships/table" Target="../tables/table41.xml"/><Relationship Id="rId4" Type="http://schemas.openxmlformats.org/officeDocument/2006/relationships/table" Target="../tables/table35.xml"/><Relationship Id="rId9" Type="http://schemas.openxmlformats.org/officeDocument/2006/relationships/table" Target="../tables/table40.xml"/></Relationships>
</file>

<file path=xl/worksheets/_rels/sheet5.xml.rels><?xml version="1.0" encoding="UTF-8" standalone="yes"?>
<Relationships xmlns="http://schemas.openxmlformats.org/package/2006/relationships"><Relationship Id="rId8" Type="http://schemas.openxmlformats.org/officeDocument/2006/relationships/table" Target="../tables/table50.xml"/><Relationship Id="rId13" Type="http://schemas.openxmlformats.org/officeDocument/2006/relationships/table" Target="../tables/table55.xml"/><Relationship Id="rId3" Type="http://schemas.openxmlformats.org/officeDocument/2006/relationships/table" Target="../tables/table45.xml"/><Relationship Id="rId7" Type="http://schemas.openxmlformats.org/officeDocument/2006/relationships/table" Target="../tables/table49.xml"/><Relationship Id="rId12" Type="http://schemas.openxmlformats.org/officeDocument/2006/relationships/table" Target="../tables/table5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48.xml"/><Relationship Id="rId11" Type="http://schemas.openxmlformats.org/officeDocument/2006/relationships/table" Target="../tables/table53.xml"/><Relationship Id="rId5" Type="http://schemas.openxmlformats.org/officeDocument/2006/relationships/table" Target="../tables/table47.xml"/><Relationship Id="rId10" Type="http://schemas.openxmlformats.org/officeDocument/2006/relationships/table" Target="../tables/table52.xml"/><Relationship Id="rId4" Type="http://schemas.openxmlformats.org/officeDocument/2006/relationships/table" Target="../tables/table46.xml"/><Relationship Id="rId9" Type="http://schemas.openxmlformats.org/officeDocument/2006/relationships/table" Target="../tables/table51.xml"/></Relationships>
</file>

<file path=xl/worksheets/_rels/sheet6.xml.rels><?xml version="1.0" encoding="UTF-8" standalone="yes"?>
<Relationships xmlns="http://schemas.openxmlformats.org/package/2006/relationships"><Relationship Id="rId8" Type="http://schemas.openxmlformats.org/officeDocument/2006/relationships/table" Target="../tables/table61.xml"/><Relationship Id="rId13" Type="http://schemas.openxmlformats.org/officeDocument/2006/relationships/table" Target="../tables/table66.xml"/><Relationship Id="rId3" Type="http://schemas.openxmlformats.org/officeDocument/2006/relationships/table" Target="../tables/table56.xml"/><Relationship Id="rId7" Type="http://schemas.openxmlformats.org/officeDocument/2006/relationships/table" Target="../tables/table60.xml"/><Relationship Id="rId12" Type="http://schemas.openxmlformats.org/officeDocument/2006/relationships/table" Target="../tables/table65.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59.xml"/><Relationship Id="rId11" Type="http://schemas.openxmlformats.org/officeDocument/2006/relationships/table" Target="../tables/table64.xml"/><Relationship Id="rId5" Type="http://schemas.openxmlformats.org/officeDocument/2006/relationships/table" Target="../tables/table58.xml"/><Relationship Id="rId10" Type="http://schemas.openxmlformats.org/officeDocument/2006/relationships/table" Target="../tables/table63.xml"/><Relationship Id="rId4" Type="http://schemas.openxmlformats.org/officeDocument/2006/relationships/table" Target="../tables/table57.xml"/><Relationship Id="rId9" Type="http://schemas.openxmlformats.org/officeDocument/2006/relationships/table" Target="../tables/table6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4B52E-1838-4221-B0FD-6A698F26B208}">
  <sheetPr>
    <tabColor rgb="FFFF0000"/>
    <pageSetUpPr fitToPage="1"/>
  </sheetPr>
  <dimension ref="A1:O157"/>
  <sheetViews>
    <sheetView showGridLines="0" topLeftCell="A41" workbookViewId="0">
      <selection activeCell="D29" sqref="D29"/>
    </sheetView>
  </sheetViews>
  <sheetFormatPr defaultColWidth="9" defaultRowHeight="14.4" x14ac:dyDescent="0.35"/>
  <cols>
    <col min="1" max="1" width="22.5" style="1" customWidth="1"/>
    <col min="2" max="4" width="9.59765625" style="1" customWidth="1"/>
    <col min="5" max="5" width="2.59765625" style="1" customWidth="1"/>
    <col min="6" max="6" width="22.5" style="1" customWidth="1"/>
    <col min="7" max="9" width="9.59765625" style="1" customWidth="1"/>
    <col min="10" max="16384" width="9" style="1"/>
  </cols>
  <sheetData>
    <row r="1" spans="1:15" ht="26.1" customHeight="1" x14ac:dyDescent="0.35">
      <c r="A1" s="28" t="s">
        <v>97</v>
      </c>
      <c r="B1" s="28"/>
      <c r="C1" s="28"/>
      <c r="D1" s="28"/>
      <c r="E1" s="28"/>
      <c r="F1" s="28"/>
      <c r="G1" s="28"/>
      <c r="H1" s="28"/>
      <c r="I1" s="28"/>
    </row>
    <row r="2" spans="1:15" s="2" customFormat="1" ht="13.8" x14ac:dyDescent="0.3">
      <c r="A2" s="50"/>
      <c r="B2" s="27"/>
      <c r="C2" s="27"/>
      <c r="D2" s="27"/>
      <c r="E2" s="25"/>
      <c r="F2" s="25"/>
      <c r="G2" s="26"/>
      <c r="H2" s="63"/>
      <c r="I2" s="63"/>
    </row>
    <row r="3" spans="1:15" s="2" customFormat="1" ht="12" x14ac:dyDescent="0.3">
      <c r="E3" s="3"/>
    </row>
    <row r="4" spans="1:15" x14ac:dyDescent="0.35">
      <c r="A4" s="17" t="s">
        <v>3</v>
      </c>
      <c r="B4" s="18" t="s">
        <v>74</v>
      </c>
      <c r="C4" s="19" t="s">
        <v>2</v>
      </c>
      <c r="D4" s="19" t="s">
        <v>70</v>
      </c>
      <c r="E4" s="15" t="s">
        <v>73</v>
      </c>
      <c r="F4" s="21" t="s">
        <v>76</v>
      </c>
      <c r="G4" s="22" t="s">
        <v>74</v>
      </c>
      <c r="H4" s="22" t="s">
        <v>2</v>
      </c>
      <c r="I4" s="22" t="s">
        <v>70</v>
      </c>
    </row>
    <row r="5" spans="1:15" ht="15" x14ac:dyDescent="0.35">
      <c r="A5" s="4" t="s">
        <v>13</v>
      </c>
      <c r="B5" s="53">
        <v>0</v>
      </c>
      <c r="C5" s="53">
        <v>0</v>
      </c>
      <c r="D5" s="56">
        <f t="shared" ref="D5:D11" si="0">C5-B5</f>
        <v>0</v>
      </c>
      <c r="E5" s="8"/>
      <c r="F5" s="23" t="s">
        <v>4</v>
      </c>
      <c r="G5" s="61"/>
      <c r="H5" s="61"/>
      <c r="I5" s="61"/>
      <c r="L5"/>
    </row>
    <row r="6" spans="1:15" ht="15.6" thickBot="1" x14ac:dyDescent="0.4">
      <c r="A6" s="4" t="s">
        <v>7</v>
      </c>
      <c r="B6" s="53"/>
      <c r="C6" s="53"/>
      <c r="D6" s="56">
        <f t="shared" si="0"/>
        <v>0</v>
      </c>
      <c r="E6" s="8"/>
      <c r="F6" s="23" t="s">
        <v>5</v>
      </c>
      <c r="G6" s="61"/>
      <c r="H6" s="61"/>
      <c r="I6" s="61"/>
      <c r="L6"/>
    </row>
    <row r="7" spans="1:15" ht="15" thickTop="1" x14ac:dyDescent="0.35">
      <c r="A7" s="4" t="s">
        <v>8</v>
      </c>
      <c r="B7" s="53"/>
      <c r="C7" s="53"/>
      <c r="D7" s="56">
        <f t="shared" si="0"/>
        <v>0</v>
      </c>
      <c r="E7" s="8"/>
      <c r="F7" s="24" t="s">
        <v>6</v>
      </c>
      <c r="G7" s="62"/>
      <c r="H7" s="62"/>
      <c r="I7" s="62"/>
    </row>
    <row r="8" spans="1:15" s="2" customFormat="1" x14ac:dyDescent="0.35">
      <c r="A8" s="4" t="s">
        <v>12</v>
      </c>
      <c r="B8" s="53"/>
      <c r="C8" s="53"/>
      <c r="D8" s="56">
        <f t="shared" si="0"/>
        <v>0</v>
      </c>
      <c r="E8" s="10"/>
      <c r="F8" s="10"/>
      <c r="G8" s="10"/>
      <c r="H8" s="10"/>
      <c r="I8" s="10"/>
    </row>
    <row r="9" spans="1:15" x14ac:dyDescent="0.35">
      <c r="A9" s="4" t="s">
        <v>75</v>
      </c>
      <c r="B9" s="53"/>
      <c r="C9" s="53"/>
      <c r="D9" s="56">
        <f t="shared" si="0"/>
        <v>0</v>
      </c>
      <c r="E9" s="8"/>
      <c r="F9" s="10"/>
      <c r="G9" s="10"/>
      <c r="H9" s="10"/>
      <c r="I9" s="10"/>
    </row>
    <row r="10" spans="1:15" x14ac:dyDescent="0.35">
      <c r="A10" s="4" t="s">
        <v>71</v>
      </c>
      <c r="B10" s="53"/>
      <c r="C10" s="53"/>
      <c r="D10" s="56">
        <f t="shared" si="0"/>
        <v>0</v>
      </c>
      <c r="E10" s="8"/>
      <c r="F10" s="17" t="s">
        <v>38</v>
      </c>
      <c r="G10" s="18" t="s">
        <v>74</v>
      </c>
      <c r="H10" s="19" t="s">
        <v>2</v>
      </c>
      <c r="I10" s="19" t="s">
        <v>70</v>
      </c>
    </row>
    <row r="11" spans="1:15" x14ac:dyDescent="0.35">
      <c r="A11" s="4" t="s">
        <v>18</v>
      </c>
      <c r="B11" s="53"/>
      <c r="C11" s="53"/>
      <c r="D11" s="56">
        <f t="shared" si="0"/>
        <v>0</v>
      </c>
      <c r="E11" s="8"/>
      <c r="F11" s="4" t="s">
        <v>10</v>
      </c>
      <c r="G11" s="57"/>
      <c r="H11" s="57"/>
      <c r="I11" s="56">
        <f t="shared" ref="I11:I19" si="1">G11-H11</f>
        <v>0</v>
      </c>
    </row>
    <row r="12" spans="1:15" x14ac:dyDescent="0.35">
      <c r="A12" s="4" t="s">
        <v>18</v>
      </c>
      <c r="B12" s="54"/>
      <c r="C12" s="54"/>
      <c r="D12" s="56">
        <f>C12-B12</f>
        <v>0</v>
      </c>
      <c r="E12" s="8"/>
      <c r="F12" s="4" t="s">
        <v>39</v>
      </c>
      <c r="G12" s="57"/>
      <c r="H12" s="57"/>
      <c r="I12" s="56">
        <f t="shared" si="1"/>
        <v>0</v>
      </c>
    </row>
    <row r="13" spans="1:15" x14ac:dyDescent="0.35">
      <c r="A13" s="20" t="str">
        <f>"Total " &amp; Table22[[#Headers],[INCOME]]</f>
        <v>Total INCOME</v>
      </c>
      <c r="B13" s="55">
        <f>SUBTOTAL(9,Table22[Budget])</f>
        <v>0</v>
      </c>
      <c r="C13" s="55">
        <f>SUBTOTAL(9,Table22[Actual])</f>
        <v>0</v>
      </c>
      <c r="D13" s="58">
        <f>SUBTOTAL(9,Table22[Difference])</f>
        <v>0</v>
      </c>
      <c r="E13" s="8"/>
      <c r="F13" s="4" t="s">
        <v>9</v>
      </c>
      <c r="G13" s="57"/>
      <c r="H13" s="57"/>
      <c r="I13" s="56">
        <f t="shared" si="1"/>
        <v>0</v>
      </c>
    </row>
    <row r="14" spans="1:15" x14ac:dyDescent="0.35">
      <c r="A14" s="8"/>
      <c r="B14" s="8"/>
      <c r="C14" s="8"/>
      <c r="D14" s="8"/>
      <c r="E14" s="8"/>
      <c r="F14" s="4" t="s">
        <v>105</v>
      </c>
      <c r="G14" s="57"/>
      <c r="H14" s="57"/>
      <c r="I14" s="56">
        <f t="shared" si="1"/>
        <v>0</v>
      </c>
    </row>
    <row r="15" spans="1:15" x14ac:dyDescent="0.35">
      <c r="A15" s="17" t="s">
        <v>15</v>
      </c>
      <c r="B15" s="18" t="s">
        <v>74</v>
      </c>
      <c r="C15" s="19" t="s">
        <v>2</v>
      </c>
      <c r="D15" s="19" t="s">
        <v>70</v>
      </c>
      <c r="E15" s="8"/>
      <c r="F15" s="4" t="s">
        <v>106</v>
      </c>
      <c r="G15" s="57"/>
      <c r="H15" s="57"/>
      <c r="I15" s="56">
        <f t="shared" si="1"/>
        <v>0</v>
      </c>
    </row>
    <row r="16" spans="1:15" ht="15" x14ac:dyDescent="0.35">
      <c r="A16" s="4" t="s">
        <v>60</v>
      </c>
      <c r="B16" s="53"/>
      <c r="C16" s="53"/>
      <c r="D16" s="56"/>
      <c r="E16" s="8"/>
      <c r="F16" s="4" t="s">
        <v>61</v>
      </c>
      <c r="G16" s="57"/>
      <c r="H16" s="57"/>
      <c r="I16" s="56">
        <f t="shared" si="1"/>
        <v>0</v>
      </c>
      <c r="O16"/>
    </row>
    <row r="17" spans="1:9" x14ac:dyDescent="0.35">
      <c r="A17" s="4" t="s">
        <v>98</v>
      </c>
      <c r="B17" s="53"/>
      <c r="C17" s="53"/>
      <c r="D17" s="56"/>
      <c r="E17" s="8"/>
      <c r="F17" s="4" t="s">
        <v>62</v>
      </c>
      <c r="G17" s="57"/>
      <c r="H17" s="57"/>
      <c r="I17" s="56">
        <f t="shared" si="1"/>
        <v>0</v>
      </c>
    </row>
    <row r="18" spans="1:9" x14ac:dyDescent="0.35">
      <c r="A18" s="4" t="s">
        <v>16</v>
      </c>
      <c r="B18" s="53"/>
      <c r="C18" s="53"/>
      <c r="D18" s="56"/>
      <c r="E18" s="8"/>
      <c r="F18" s="4" t="s">
        <v>107</v>
      </c>
      <c r="G18" s="57"/>
      <c r="H18" s="57"/>
      <c r="I18" s="56">
        <f t="shared" si="1"/>
        <v>0</v>
      </c>
    </row>
    <row r="19" spans="1:9" x14ac:dyDescent="0.35">
      <c r="A19" s="4" t="s">
        <v>59</v>
      </c>
      <c r="B19" s="53"/>
      <c r="C19" s="53"/>
      <c r="D19" s="56"/>
      <c r="E19" s="8"/>
      <c r="F19" s="4" t="s">
        <v>18</v>
      </c>
      <c r="G19" s="57"/>
      <c r="H19" s="57"/>
      <c r="I19" s="56">
        <f t="shared" si="1"/>
        <v>0</v>
      </c>
    </row>
    <row r="20" spans="1:9" s="5" customFormat="1" x14ac:dyDescent="0.35">
      <c r="A20" s="4" t="s">
        <v>58</v>
      </c>
      <c r="B20" s="53"/>
      <c r="C20" s="53"/>
      <c r="D20" s="56"/>
      <c r="E20" s="8"/>
      <c r="F20" s="20" t="str">
        <f>"Total " &amp; Table65[[#Headers],[DAILY LIVING]]</f>
        <v>Total DAILY LIVING</v>
      </c>
      <c r="G20" s="55">
        <f>SUBTOTAL(9,Table65[Budget])</f>
        <v>0</v>
      </c>
      <c r="H20" s="55">
        <f>SUBTOTAL(9,Table65[Actual])</f>
        <v>0</v>
      </c>
      <c r="I20" s="58">
        <f>SUBTOTAL(9,Table65[Difference])</f>
        <v>0</v>
      </c>
    </row>
    <row r="21" spans="1:9" x14ac:dyDescent="0.35">
      <c r="A21" s="4" t="s">
        <v>20</v>
      </c>
      <c r="B21" s="53"/>
      <c r="C21" s="53"/>
      <c r="D21" s="56"/>
      <c r="E21" s="8"/>
      <c r="F21" s="8"/>
      <c r="G21" s="14"/>
      <c r="H21" s="14"/>
      <c r="I21" s="14"/>
    </row>
    <row r="22" spans="1:9" x14ac:dyDescent="0.35">
      <c r="A22" s="4" t="s">
        <v>57</v>
      </c>
      <c r="B22" s="53"/>
      <c r="C22" s="53"/>
      <c r="D22" s="56"/>
      <c r="E22" s="8"/>
      <c r="F22" s="17" t="s">
        <v>29</v>
      </c>
      <c r="G22" s="18" t="s">
        <v>74</v>
      </c>
      <c r="H22" s="19" t="s">
        <v>2</v>
      </c>
      <c r="I22" s="19" t="s">
        <v>70</v>
      </c>
    </row>
    <row r="23" spans="1:9" x14ac:dyDescent="0.35">
      <c r="A23" s="4" t="s">
        <v>17</v>
      </c>
      <c r="B23" s="53"/>
      <c r="C23" s="53"/>
      <c r="D23" s="56"/>
      <c r="E23" s="8"/>
      <c r="F23" s="4" t="s">
        <v>64</v>
      </c>
      <c r="G23" s="57"/>
      <c r="H23" s="57"/>
      <c r="I23" s="56">
        <f t="shared" ref="I23:I36" si="2">G23-H23</f>
        <v>0</v>
      </c>
    </row>
    <row r="24" spans="1:9" x14ac:dyDescent="0.35">
      <c r="A24" s="4" t="s">
        <v>56</v>
      </c>
      <c r="B24" s="53"/>
      <c r="C24" s="53"/>
      <c r="D24" s="56"/>
      <c r="E24" s="8"/>
      <c r="F24" s="4" t="s">
        <v>0</v>
      </c>
      <c r="G24" s="57"/>
      <c r="H24" s="57"/>
      <c r="I24" s="56">
        <f t="shared" si="2"/>
        <v>0</v>
      </c>
    </row>
    <row r="25" spans="1:9" x14ac:dyDescent="0.35">
      <c r="A25" s="4" t="s">
        <v>55</v>
      </c>
      <c r="B25" s="53"/>
      <c r="C25" s="53"/>
      <c r="D25" s="56"/>
      <c r="E25" s="8"/>
      <c r="F25" s="4" t="s">
        <v>67</v>
      </c>
      <c r="G25" s="57"/>
      <c r="H25" s="57"/>
      <c r="I25" s="56">
        <f t="shared" si="2"/>
        <v>0</v>
      </c>
    </row>
    <row r="26" spans="1:9" x14ac:dyDescent="0.35">
      <c r="A26" s="4" t="s">
        <v>99</v>
      </c>
      <c r="B26" s="53"/>
      <c r="C26" s="53"/>
      <c r="D26" s="56"/>
      <c r="E26" s="8"/>
      <c r="F26" s="4" t="s">
        <v>33</v>
      </c>
      <c r="G26" s="57"/>
      <c r="H26" s="57"/>
      <c r="I26" s="56">
        <f t="shared" si="2"/>
        <v>0</v>
      </c>
    </row>
    <row r="27" spans="1:9" x14ac:dyDescent="0.35">
      <c r="A27" s="4" t="s">
        <v>19</v>
      </c>
      <c r="B27" s="53"/>
      <c r="C27" s="53"/>
      <c r="D27" s="56"/>
      <c r="E27" s="8"/>
      <c r="F27" s="4" t="s">
        <v>63</v>
      </c>
      <c r="G27" s="57"/>
      <c r="H27" s="57"/>
      <c r="I27" s="56">
        <f t="shared" si="2"/>
        <v>0</v>
      </c>
    </row>
    <row r="28" spans="1:9" x14ac:dyDescent="0.35">
      <c r="A28" s="4" t="s">
        <v>18</v>
      </c>
      <c r="B28" s="57"/>
      <c r="C28" s="57"/>
      <c r="D28" s="56"/>
      <c r="E28" s="8"/>
      <c r="F28" s="4" t="s">
        <v>65</v>
      </c>
      <c r="G28" s="57"/>
      <c r="H28" s="57"/>
      <c r="I28" s="56">
        <f t="shared" si="2"/>
        <v>0</v>
      </c>
    </row>
    <row r="29" spans="1:9" x14ac:dyDescent="0.35">
      <c r="A29" s="20" t="str">
        <f>"Total " &amp; Table54[[#Headers],[HOME EXPENSES]]</f>
        <v>Total HOME EXPENSES</v>
      </c>
      <c r="B29" s="55" t="s">
        <v>113</v>
      </c>
      <c r="C29" s="55" t="s">
        <v>113</v>
      </c>
      <c r="D29" s="58"/>
      <c r="E29" s="8"/>
      <c r="F29" s="4" t="s">
        <v>30</v>
      </c>
      <c r="G29" s="57"/>
      <c r="H29" s="57"/>
      <c r="I29" s="56">
        <f t="shared" si="2"/>
        <v>0</v>
      </c>
    </row>
    <row r="30" spans="1:9" x14ac:dyDescent="0.35">
      <c r="A30" s="8"/>
      <c r="B30" s="14"/>
      <c r="C30" s="14"/>
      <c r="D30" s="14"/>
      <c r="E30" s="8"/>
      <c r="F30" s="4" t="s">
        <v>35</v>
      </c>
      <c r="G30" s="57"/>
      <c r="H30" s="57"/>
      <c r="I30" s="56">
        <f t="shared" si="2"/>
        <v>0</v>
      </c>
    </row>
    <row r="31" spans="1:9" x14ac:dyDescent="0.35">
      <c r="A31" s="17" t="s">
        <v>21</v>
      </c>
      <c r="B31" s="18" t="s">
        <v>74</v>
      </c>
      <c r="C31" s="19" t="s">
        <v>2</v>
      </c>
      <c r="D31" s="19" t="s">
        <v>70</v>
      </c>
      <c r="E31" s="8"/>
      <c r="F31" s="4" t="s">
        <v>66</v>
      </c>
      <c r="G31" s="57"/>
      <c r="H31" s="57"/>
      <c r="I31" s="56">
        <f t="shared" si="2"/>
        <v>0</v>
      </c>
    </row>
    <row r="32" spans="1:9" x14ac:dyDescent="0.35">
      <c r="A32" s="4" t="s">
        <v>22</v>
      </c>
      <c r="B32" s="57"/>
      <c r="C32" s="57"/>
      <c r="D32" s="56">
        <f>B32-C32</f>
        <v>0</v>
      </c>
      <c r="E32" s="8"/>
      <c r="F32" s="4" t="s">
        <v>36</v>
      </c>
      <c r="G32" s="57"/>
      <c r="H32" s="57"/>
      <c r="I32" s="56">
        <f t="shared" si="2"/>
        <v>0</v>
      </c>
    </row>
    <row r="33" spans="1:9" x14ac:dyDescent="0.35">
      <c r="A33" s="4" t="s">
        <v>100</v>
      </c>
      <c r="B33" s="57"/>
      <c r="C33" s="57"/>
      <c r="D33" s="56">
        <f t="shared" ref="D33:D38" si="3">B33-C33</f>
        <v>0</v>
      </c>
      <c r="E33" s="8"/>
      <c r="F33" s="4" t="s">
        <v>34</v>
      </c>
      <c r="G33" s="57"/>
      <c r="H33" s="57"/>
      <c r="I33" s="56">
        <f t="shared" si="2"/>
        <v>0</v>
      </c>
    </row>
    <row r="34" spans="1:9" x14ac:dyDescent="0.35">
      <c r="A34" s="4" t="s">
        <v>23</v>
      </c>
      <c r="B34" s="57"/>
      <c r="C34" s="57"/>
      <c r="D34" s="56">
        <f>B34-C34</f>
        <v>0</v>
      </c>
      <c r="E34" s="8"/>
      <c r="F34" s="4" t="s">
        <v>68</v>
      </c>
      <c r="G34" s="57"/>
      <c r="H34" s="57"/>
      <c r="I34" s="56">
        <f t="shared" si="2"/>
        <v>0</v>
      </c>
    </row>
    <row r="35" spans="1:9" x14ac:dyDescent="0.35">
      <c r="A35" s="4" t="s">
        <v>53</v>
      </c>
      <c r="B35" s="57"/>
      <c r="C35" s="57"/>
      <c r="D35" s="56">
        <f t="shared" si="3"/>
        <v>0</v>
      </c>
      <c r="E35" s="8"/>
      <c r="F35" s="4" t="s">
        <v>108</v>
      </c>
      <c r="G35" s="57"/>
      <c r="H35" s="57"/>
      <c r="I35" s="56">
        <f t="shared" si="2"/>
        <v>0</v>
      </c>
    </row>
    <row r="36" spans="1:9" x14ac:dyDescent="0.35">
      <c r="A36" s="4" t="s">
        <v>24</v>
      </c>
      <c r="B36" s="57"/>
      <c r="C36" s="57"/>
      <c r="D36" s="56">
        <f t="shared" si="3"/>
        <v>0</v>
      </c>
      <c r="E36" s="8"/>
      <c r="F36" s="4" t="s">
        <v>18</v>
      </c>
      <c r="G36" s="57"/>
      <c r="H36" s="57"/>
      <c r="I36" s="56">
        <f t="shared" si="2"/>
        <v>0</v>
      </c>
    </row>
    <row r="37" spans="1:9" x14ac:dyDescent="0.35">
      <c r="A37" s="4" t="s">
        <v>54</v>
      </c>
      <c r="B37" s="57"/>
      <c r="C37" s="57"/>
      <c r="D37" s="56">
        <f t="shared" si="3"/>
        <v>0</v>
      </c>
      <c r="E37" s="8"/>
      <c r="F37" s="20" t="str">
        <f>"Total " &amp; Table710[[#Headers],[ENTERTAINMENT]]</f>
        <v>Total ENTERTAINMENT</v>
      </c>
      <c r="G37" s="55">
        <f>SUBTOTAL(9,Table710[Budget])</f>
        <v>0</v>
      </c>
      <c r="H37" s="55">
        <f>SUBTOTAL(9,Table710[Actual])</f>
        <v>0</v>
      </c>
      <c r="I37" s="58">
        <f>SUBTOTAL(9,Table710[Difference])</f>
        <v>0</v>
      </c>
    </row>
    <row r="38" spans="1:9" x14ac:dyDescent="0.35">
      <c r="A38" s="4" t="s">
        <v>18</v>
      </c>
      <c r="B38" s="57"/>
      <c r="C38" s="57"/>
      <c r="D38" s="56">
        <f t="shared" si="3"/>
        <v>0</v>
      </c>
      <c r="E38" s="8"/>
      <c r="F38" s="8"/>
      <c r="G38" s="14"/>
      <c r="H38" s="14"/>
      <c r="I38" s="14"/>
    </row>
    <row r="39" spans="1:9" x14ac:dyDescent="0.35">
      <c r="A39" s="20" t="str">
        <f>"Total " &amp; Table2019[[#Headers],[TRANSPORTATION]]</f>
        <v>Total TRANSPORTATION</v>
      </c>
      <c r="B39" s="55">
        <f>SUBTOTAL(9,Table2019[Budget])</f>
        <v>0</v>
      </c>
      <c r="C39" s="55">
        <f>SUBTOTAL(9,Table2019[Actual])</f>
        <v>0</v>
      </c>
      <c r="D39" s="58">
        <f>SUBTOTAL(9,Table2019[Difference])</f>
        <v>0</v>
      </c>
      <c r="E39" s="8"/>
      <c r="F39" s="17" t="s">
        <v>46</v>
      </c>
      <c r="G39" s="18" t="s">
        <v>74</v>
      </c>
      <c r="H39" s="19" t="s">
        <v>2</v>
      </c>
      <c r="I39" s="19" t="s">
        <v>70</v>
      </c>
    </row>
    <row r="40" spans="1:9" x14ac:dyDescent="0.35">
      <c r="A40" s="8"/>
      <c r="B40" s="14"/>
      <c r="C40" s="14"/>
      <c r="D40" s="14"/>
      <c r="E40" s="8"/>
      <c r="F40" s="4" t="s">
        <v>43</v>
      </c>
      <c r="G40" s="57"/>
      <c r="H40" s="57"/>
      <c r="I40" s="56">
        <f>G40-H40</f>
        <v>0</v>
      </c>
    </row>
    <row r="41" spans="1:9" x14ac:dyDescent="0.35">
      <c r="A41" s="17" t="s">
        <v>25</v>
      </c>
      <c r="B41" s="18" t="s">
        <v>74</v>
      </c>
      <c r="C41" s="19" t="s">
        <v>2</v>
      </c>
      <c r="D41" s="19" t="s">
        <v>70</v>
      </c>
      <c r="E41" s="8"/>
      <c r="F41" s="4" t="s">
        <v>44</v>
      </c>
      <c r="G41" s="57"/>
      <c r="H41" s="57"/>
      <c r="I41" s="56">
        <f t="shared" ref="I41:I42" si="4">G41-H41</f>
        <v>0</v>
      </c>
    </row>
    <row r="42" spans="1:9" x14ac:dyDescent="0.35">
      <c r="A42" s="4" t="s">
        <v>101</v>
      </c>
      <c r="B42" s="57"/>
      <c r="C42" s="57"/>
      <c r="D42" s="56">
        <f t="shared" ref="D42:D48" si="5">B42-C42</f>
        <v>0</v>
      </c>
      <c r="E42" s="8"/>
      <c r="F42" s="4" t="s">
        <v>47</v>
      </c>
      <c r="G42" s="57"/>
      <c r="H42" s="57"/>
      <c r="I42" s="56">
        <f t="shared" si="4"/>
        <v>0</v>
      </c>
    </row>
    <row r="43" spans="1:9" x14ac:dyDescent="0.35">
      <c r="A43" s="4" t="s">
        <v>26</v>
      </c>
      <c r="B43" s="57"/>
      <c r="C43" s="57"/>
      <c r="D43" s="56">
        <f t="shared" si="5"/>
        <v>0</v>
      </c>
      <c r="E43" s="8"/>
      <c r="F43" s="4" t="s">
        <v>45</v>
      </c>
      <c r="G43" s="57"/>
      <c r="H43" s="57"/>
      <c r="I43" s="56">
        <f>G43-H43</f>
        <v>0</v>
      </c>
    </row>
    <row r="44" spans="1:9" x14ac:dyDescent="0.35">
      <c r="A44" s="4" t="s">
        <v>27</v>
      </c>
      <c r="B44" s="57"/>
      <c r="C44" s="57"/>
      <c r="D44" s="56">
        <f t="shared" si="5"/>
        <v>0</v>
      </c>
      <c r="E44" s="8"/>
      <c r="F44" s="4" t="s">
        <v>109</v>
      </c>
      <c r="G44" s="57"/>
      <c r="H44" s="57"/>
      <c r="I44" s="56">
        <f>G44-H44</f>
        <v>0</v>
      </c>
    </row>
    <row r="45" spans="1:9" x14ac:dyDescent="0.35">
      <c r="A45" s="4" t="s">
        <v>28</v>
      </c>
      <c r="B45" s="57"/>
      <c r="C45" s="57"/>
      <c r="D45" s="56">
        <f t="shared" si="5"/>
        <v>0</v>
      </c>
      <c r="E45" s="8"/>
      <c r="F45" s="4" t="s">
        <v>18</v>
      </c>
      <c r="G45" s="57"/>
      <c r="H45" s="57"/>
      <c r="I45" s="56">
        <f>G45-H45</f>
        <v>0</v>
      </c>
    </row>
    <row r="46" spans="1:9" x14ac:dyDescent="0.35">
      <c r="A46" s="4" t="s">
        <v>102</v>
      </c>
      <c r="B46" s="57"/>
      <c r="C46" s="57"/>
      <c r="D46" s="56">
        <f t="shared" si="5"/>
        <v>0</v>
      </c>
      <c r="E46" s="8"/>
      <c r="F46" s="20" t="str">
        <f>"Total " &amp; Table812[[#Headers],[SAVINGS]]</f>
        <v>Total SAVINGS</v>
      </c>
      <c r="G46" s="55">
        <f>SUBTOTAL(9,Table812[Budget])</f>
        <v>0</v>
      </c>
      <c r="H46" s="55">
        <f>SUBTOTAL(9,Table812[Actual])</f>
        <v>0</v>
      </c>
      <c r="I46" s="58">
        <f>SUBTOTAL(9,Table812[Difference])</f>
        <v>0</v>
      </c>
    </row>
    <row r="47" spans="1:9" x14ac:dyDescent="0.35">
      <c r="A47" s="4" t="s">
        <v>103</v>
      </c>
      <c r="B47" s="57"/>
      <c r="C47" s="57"/>
      <c r="D47" s="56">
        <f t="shared" si="5"/>
        <v>0</v>
      </c>
      <c r="E47" s="8"/>
      <c r="F47" s="8"/>
      <c r="G47" s="14"/>
      <c r="H47" s="14"/>
      <c r="I47" s="14"/>
    </row>
    <row r="48" spans="1:9" x14ac:dyDescent="0.35">
      <c r="A48" s="4" t="s">
        <v>18</v>
      </c>
      <c r="B48" s="57"/>
      <c r="C48" s="57"/>
      <c r="D48" s="56">
        <f t="shared" si="5"/>
        <v>0</v>
      </c>
      <c r="E48" s="8"/>
      <c r="F48" s="17" t="s">
        <v>48</v>
      </c>
      <c r="G48" s="18" t="s">
        <v>74</v>
      </c>
      <c r="H48" s="19" t="s">
        <v>2</v>
      </c>
      <c r="I48" s="19" t="s">
        <v>70</v>
      </c>
    </row>
    <row r="49" spans="1:9" x14ac:dyDescent="0.35">
      <c r="A49" s="20" t="str">
        <f>"Total " &amp; Table2123[[#Headers],[HEALTH]]</f>
        <v>Total HEALTH</v>
      </c>
      <c r="B49" s="55">
        <f>SUBTOTAL(9,Table2123[Budget])</f>
        <v>0</v>
      </c>
      <c r="C49" s="55">
        <f>SUBTOTAL(9,Table2123[Actual])</f>
        <v>0</v>
      </c>
      <c r="D49" s="58">
        <f>SUBTOTAL(9,Table2123[Difference])</f>
        <v>0</v>
      </c>
      <c r="E49" s="8"/>
      <c r="F49" s="4" t="s">
        <v>49</v>
      </c>
      <c r="G49" s="57"/>
      <c r="H49" s="57"/>
      <c r="I49" s="56">
        <f t="shared" ref="I49:I55" si="6">G49-H49</f>
        <v>0</v>
      </c>
    </row>
    <row r="50" spans="1:9" x14ac:dyDescent="0.35">
      <c r="A50" s="8"/>
      <c r="B50" s="14"/>
      <c r="C50" s="14"/>
      <c r="D50" s="14"/>
      <c r="E50" s="8"/>
      <c r="F50" s="4" t="s">
        <v>50</v>
      </c>
      <c r="G50" s="57"/>
      <c r="H50" s="57"/>
      <c r="I50" s="56">
        <f t="shared" si="6"/>
        <v>0</v>
      </c>
    </row>
    <row r="51" spans="1:9" x14ac:dyDescent="0.35">
      <c r="A51" s="17" t="s">
        <v>69</v>
      </c>
      <c r="B51" s="18" t="s">
        <v>74</v>
      </c>
      <c r="C51" s="19" t="s">
        <v>2</v>
      </c>
      <c r="D51" s="19" t="s">
        <v>70</v>
      </c>
      <c r="E51" s="8"/>
      <c r="F51" s="4" t="s">
        <v>110</v>
      </c>
      <c r="G51" s="57"/>
      <c r="H51" s="57"/>
      <c r="I51" s="56">
        <f t="shared" si="6"/>
        <v>0</v>
      </c>
    </row>
    <row r="52" spans="1:9" x14ac:dyDescent="0.35">
      <c r="A52" s="4" t="s">
        <v>11</v>
      </c>
      <c r="B52" s="57"/>
      <c r="C52" s="57"/>
      <c r="D52" s="56">
        <f t="shared" ref="D52:D55" si="7">B52-C52</f>
        <v>0</v>
      </c>
      <c r="E52" s="8"/>
      <c r="F52" s="4" t="s">
        <v>72</v>
      </c>
      <c r="G52" s="57"/>
      <c r="H52" s="57"/>
      <c r="I52" s="56">
        <f t="shared" si="6"/>
        <v>0</v>
      </c>
    </row>
    <row r="53" spans="1:9" x14ac:dyDescent="0.35">
      <c r="A53" s="4" t="s">
        <v>40</v>
      </c>
      <c r="B53" s="57"/>
      <c r="C53" s="57"/>
      <c r="D53" s="56">
        <f t="shared" si="7"/>
        <v>0</v>
      </c>
      <c r="E53" s="8"/>
      <c r="F53" s="4" t="s">
        <v>51</v>
      </c>
      <c r="G53" s="57"/>
      <c r="H53" s="57"/>
      <c r="I53" s="56">
        <f t="shared" si="6"/>
        <v>0</v>
      </c>
    </row>
    <row r="54" spans="1:9" x14ac:dyDescent="0.35">
      <c r="A54" s="4" t="s">
        <v>41</v>
      </c>
      <c r="B54" s="57"/>
      <c r="C54" s="57"/>
      <c r="D54" s="56">
        <f t="shared" si="7"/>
        <v>0</v>
      </c>
      <c r="E54" s="8"/>
      <c r="F54" s="4" t="s">
        <v>52</v>
      </c>
      <c r="G54" s="57"/>
      <c r="H54" s="57"/>
      <c r="I54" s="56">
        <f t="shared" si="6"/>
        <v>0</v>
      </c>
    </row>
    <row r="55" spans="1:9" x14ac:dyDescent="0.35">
      <c r="A55" s="4" t="s">
        <v>18</v>
      </c>
      <c r="B55" s="57"/>
      <c r="C55" s="57"/>
      <c r="D55" s="56">
        <f t="shared" si="7"/>
        <v>0</v>
      </c>
      <c r="E55" s="8"/>
      <c r="F55" s="4" t="s">
        <v>18</v>
      </c>
      <c r="G55" s="57"/>
      <c r="H55" s="57"/>
      <c r="I55" s="56">
        <f t="shared" si="6"/>
        <v>0</v>
      </c>
    </row>
    <row r="56" spans="1:9" x14ac:dyDescent="0.35">
      <c r="A56" s="20" t="str">
        <f>"Total " &amp; Table1918[[#Headers],[CHARITY/GIFTS]]</f>
        <v>Total CHARITY/GIFTS</v>
      </c>
      <c r="B56" s="55">
        <f>SUBTOTAL(9,Table1918[Budget])</f>
        <v>0</v>
      </c>
      <c r="C56" s="55">
        <f>SUBTOTAL(9,Table1918[Actual])</f>
        <v>0</v>
      </c>
      <c r="D56" s="58">
        <f>SUBTOTAL(9,Table1918[Difference])</f>
        <v>0</v>
      </c>
      <c r="E56" s="8"/>
      <c r="F56" s="20" t="str">
        <f>"Total " &amp; Table1013[[#Headers],[OBLIGATIONS]]</f>
        <v>Total OBLIGATIONS</v>
      </c>
      <c r="G56" s="55">
        <f>SUBTOTAL(9,Table1013[Budget])</f>
        <v>0</v>
      </c>
      <c r="H56" s="55">
        <f>SUBTOTAL(9,Table1013[Actual])</f>
        <v>0</v>
      </c>
      <c r="I56" s="58">
        <f>SUBTOTAL(9,Table1013[Difference])</f>
        <v>0</v>
      </c>
    </row>
    <row r="57" spans="1:9" x14ac:dyDescent="0.35">
      <c r="A57" s="8"/>
      <c r="B57" s="14"/>
      <c r="C57" s="14"/>
      <c r="D57" s="14"/>
      <c r="E57" s="8"/>
      <c r="F57" s="8"/>
      <c r="G57" s="14"/>
      <c r="H57" s="14"/>
      <c r="I57" s="14"/>
    </row>
    <row r="58" spans="1:9" x14ac:dyDescent="0.35">
      <c r="A58" s="17" t="s">
        <v>37</v>
      </c>
      <c r="B58" s="18" t="s">
        <v>74</v>
      </c>
      <c r="C58" s="19" t="s">
        <v>2</v>
      </c>
      <c r="D58" s="19" t="s">
        <v>70</v>
      </c>
      <c r="E58" s="8"/>
      <c r="F58" s="17" t="s">
        <v>14</v>
      </c>
      <c r="G58" s="18" t="s">
        <v>74</v>
      </c>
      <c r="H58" s="19" t="s">
        <v>2</v>
      </c>
      <c r="I58" s="19" t="s">
        <v>70</v>
      </c>
    </row>
    <row r="59" spans="1:9" x14ac:dyDescent="0.35">
      <c r="A59" s="4" t="s">
        <v>31</v>
      </c>
      <c r="B59" s="57"/>
      <c r="C59" s="57"/>
      <c r="D59" s="56">
        <f t="shared" ref="D59:D62" si="8">B59-C59</f>
        <v>0</v>
      </c>
      <c r="E59" s="8"/>
      <c r="F59" s="4" t="s">
        <v>42</v>
      </c>
      <c r="G59" s="53"/>
      <c r="H59" s="53"/>
      <c r="I59" s="56">
        <f t="shared" ref="I59:I62" si="9">G59-H59</f>
        <v>0</v>
      </c>
    </row>
    <row r="60" spans="1:9" x14ac:dyDescent="0.35">
      <c r="A60" s="4" t="s">
        <v>32</v>
      </c>
      <c r="B60" s="57"/>
      <c r="C60" s="57"/>
      <c r="D60" s="56">
        <f t="shared" si="8"/>
        <v>0</v>
      </c>
      <c r="E60" s="8"/>
      <c r="F60" s="4" t="s">
        <v>1</v>
      </c>
      <c r="G60" s="53"/>
      <c r="H60" s="53"/>
      <c r="I60" s="56">
        <f t="shared" si="9"/>
        <v>0</v>
      </c>
    </row>
    <row r="61" spans="1:9" x14ac:dyDescent="0.35">
      <c r="A61" s="4" t="s">
        <v>104</v>
      </c>
      <c r="B61" s="57"/>
      <c r="C61" s="57"/>
      <c r="D61" s="56">
        <f t="shared" si="8"/>
        <v>0</v>
      </c>
      <c r="E61" s="8"/>
      <c r="F61" s="4" t="s">
        <v>18</v>
      </c>
      <c r="G61" s="53"/>
      <c r="H61" s="53"/>
      <c r="I61" s="56">
        <f t="shared" si="9"/>
        <v>0</v>
      </c>
    </row>
    <row r="62" spans="1:9" x14ac:dyDescent="0.35">
      <c r="A62" s="4" t="s">
        <v>18</v>
      </c>
      <c r="B62" s="57"/>
      <c r="C62" s="57"/>
      <c r="D62" s="56">
        <f t="shared" si="8"/>
        <v>0</v>
      </c>
      <c r="E62" s="8"/>
      <c r="F62" s="4" t="s">
        <v>18</v>
      </c>
      <c r="G62" s="57"/>
      <c r="H62" s="57"/>
      <c r="I62" s="56">
        <f t="shared" si="9"/>
        <v>0</v>
      </c>
    </row>
    <row r="63" spans="1:9" x14ac:dyDescent="0.35">
      <c r="A63" s="20" t="str">
        <f>"Total " &amp; Table1517[[#Headers],[SUBSCRIPTIONS]]</f>
        <v>Total SUBSCRIPTIONS</v>
      </c>
      <c r="B63" s="55">
        <f>SUBTOTAL(9,Table1517[Budget])</f>
        <v>0</v>
      </c>
      <c r="C63" s="55">
        <f>SUBTOTAL(9,Table1517[Actual])</f>
        <v>0</v>
      </c>
      <c r="D63" s="58">
        <f>SUBTOTAL(9,Table1517[Difference])</f>
        <v>0</v>
      </c>
      <c r="E63" s="8"/>
      <c r="F63" s="20" t="str">
        <f>"Total " &amp; Table1414[[#Headers],[MISCELLANEOUS]]</f>
        <v>Total MISCELLANEOUS</v>
      </c>
      <c r="G63" s="55">
        <f>SUBTOTAL(9,Table1414[Budget])</f>
        <v>0</v>
      </c>
      <c r="H63" s="55">
        <f>SUBTOTAL(9,Table1414[Actual])</f>
        <v>0</v>
      </c>
      <c r="I63" s="58">
        <f>SUBTOTAL(9,Table1414[Difference])</f>
        <v>0</v>
      </c>
    </row>
    <row r="64" spans="1:9" x14ac:dyDescent="0.35">
      <c r="E64" s="8"/>
      <c r="F64" s="7"/>
    </row>
    <row r="65" spans="5:6" x14ac:dyDescent="0.35">
      <c r="E65" s="8"/>
      <c r="F65" s="7"/>
    </row>
    <row r="66" spans="5:6" x14ac:dyDescent="0.35">
      <c r="E66" s="8"/>
      <c r="F66" s="7"/>
    </row>
    <row r="67" spans="5:6" x14ac:dyDescent="0.35">
      <c r="E67" s="8"/>
      <c r="F67" s="7"/>
    </row>
    <row r="68" spans="5:6" x14ac:dyDescent="0.35">
      <c r="E68" s="8"/>
      <c r="F68" s="7"/>
    </row>
    <row r="69" spans="5:6" x14ac:dyDescent="0.35">
      <c r="E69" s="8"/>
      <c r="F69" s="7"/>
    </row>
    <row r="70" spans="5:6" x14ac:dyDescent="0.35">
      <c r="E70" s="8"/>
    </row>
    <row r="71" spans="5:6" x14ac:dyDescent="0.35">
      <c r="E71" s="8"/>
    </row>
    <row r="72" spans="5:6" x14ac:dyDescent="0.35">
      <c r="E72" s="8"/>
      <c r="F72" s="7"/>
    </row>
    <row r="73" spans="5:6" x14ac:dyDescent="0.35">
      <c r="E73" s="8"/>
      <c r="F73" s="7"/>
    </row>
    <row r="74" spans="5:6" x14ac:dyDescent="0.35">
      <c r="E74" s="12"/>
      <c r="F74" s="7"/>
    </row>
    <row r="75" spans="5:6" x14ac:dyDescent="0.35">
      <c r="E75" s="13"/>
      <c r="F75" s="7"/>
    </row>
    <row r="76" spans="5:6" x14ac:dyDescent="0.35">
      <c r="E76" s="13"/>
      <c r="F76" s="7"/>
    </row>
    <row r="77" spans="5:6" x14ac:dyDescent="0.35">
      <c r="E77" s="13"/>
      <c r="F77" s="7"/>
    </row>
    <row r="78" spans="5:6" x14ac:dyDescent="0.35">
      <c r="E78" s="13"/>
      <c r="F78" s="7"/>
    </row>
    <row r="79" spans="5:6" x14ac:dyDescent="0.35">
      <c r="E79" s="8"/>
      <c r="F79" s="7"/>
    </row>
    <row r="80" spans="5:6" x14ac:dyDescent="0.35">
      <c r="E80" s="12"/>
      <c r="F80" s="7"/>
    </row>
    <row r="81" spans="5:6" x14ac:dyDescent="0.35">
      <c r="E81" s="13"/>
      <c r="F81" s="7"/>
    </row>
    <row r="82" spans="5:6" x14ac:dyDescent="0.35">
      <c r="E82" s="13"/>
    </row>
    <row r="83" spans="5:6" x14ac:dyDescent="0.35">
      <c r="E83" s="13"/>
    </row>
    <row r="84" spans="5:6" x14ac:dyDescent="0.35">
      <c r="E84" s="16" t="s">
        <v>73</v>
      </c>
    </row>
    <row r="85" spans="5:6" x14ac:dyDescent="0.35">
      <c r="E85" s="13"/>
    </row>
    <row r="86" spans="5:6" x14ac:dyDescent="0.35">
      <c r="E86" s="13"/>
    </row>
    <row r="87" spans="5:6" x14ac:dyDescent="0.35">
      <c r="E87" s="13"/>
    </row>
    <row r="88" spans="5:6" x14ac:dyDescent="0.35">
      <c r="E88" s="13"/>
    </row>
    <row r="89" spans="5:6" x14ac:dyDescent="0.35">
      <c r="E89" s="13"/>
    </row>
    <row r="90" spans="5:6" x14ac:dyDescent="0.35">
      <c r="E90" s="8"/>
    </row>
    <row r="91" spans="5:6" x14ac:dyDescent="0.35">
      <c r="E91" s="12"/>
    </row>
    <row r="92" spans="5:6" x14ac:dyDescent="0.35">
      <c r="E92" s="7"/>
    </row>
    <row r="93" spans="5:6" x14ac:dyDescent="0.35">
      <c r="E93" s="7"/>
    </row>
    <row r="94" spans="5:6" x14ac:dyDescent="0.35">
      <c r="E94" s="7"/>
    </row>
    <row r="95" spans="5:6" x14ac:dyDescent="0.35">
      <c r="E95" s="7"/>
    </row>
    <row r="96" spans="5:6" x14ac:dyDescent="0.35">
      <c r="E96" s="7"/>
    </row>
    <row r="97" spans="5:5" x14ac:dyDescent="0.35">
      <c r="E97" s="7"/>
    </row>
    <row r="98" spans="5:5" x14ac:dyDescent="0.35">
      <c r="E98" s="7"/>
    </row>
    <row r="99" spans="5:5" x14ac:dyDescent="0.35">
      <c r="E99" s="7"/>
    </row>
    <row r="100" spans="5:5" x14ac:dyDescent="0.35">
      <c r="E100" s="7"/>
    </row>
    <row r="101" spans="5:5" x14ac:dyDescent="0.35">
      <c r="E101" s="7"/>
    </row>
    <row r="122" spans="6:6" x14ac:dyDescent="0.35">
      <c r="F122" s="7"/>
    </row>
    <row r="123" spans="6:6" x14ac:dyDescent="0.35">
      <c r="F123" s="7"/>
    </row>
    <row r="124" spans="6:6" x14ac:dyDescent="0.35">
      <c r="F124" s="7"/>
    </row>
    <row r="125" spans="6:6" x14ac:dyDescent="0.35">
      <c r="F125" s="7"/>
    </row>
    <row r="126" spans="6:6" x14ac:dyDescent="0.35">
      <c r="F126" s="7"/>
    </row>
    <row r="127" spans="6:6" x14ac:dyDescent="0.35">
      <c r="F127" s="7"/>
    </row>
    <row r="128" spans="6:6" x14ac:dyDescent="0.35">
      <c r="F128" s="7"/>
    </row>
    <row r="131" spans="5:6" x14ac:dyDescent="0.35">
      <c r="F131" s="7"/>
    </row>
    <row r="132" spans="5:6" x14ac:dyDescent="0.35">
      <c r="F132" s="7"/>
    </row>
    <row r="133" spans="5:6" x14ac:dyDescent="0.35">
      <c r="F133" s="7"/>
    </row>
    <row r="134" spans="5:6" x14ac:dyDescent="0.35">
      <c r="F134" s="7"/>
    </row>
    <row r="135" spans="5:6" x14ac:dyDescent="0.35">
      <c r="F135" s="7"/>
    </row>
    <row r="136" spans="5:6" x14ac:dyDescent="0.35">
      <c r="F136" s="7"/>
    </row>
    <row r="137" spans="5:6" x14ac:dyDescent="0.35">
      <c r="F137" s="7"/>
    </row>
    <row r="141" spans="5:6" x14ac:dyDescent="0.35">
      <c r="E141" s="6"/>
    </row>
    <row r="142" spans="5:6" x14ac:dyDescent="0.35">
      <c r="E142" s="7"/>
    </row>
    <row r="143" spans="5:6" x14ac:dyDescent="0.35">
      <c r="E143" s="7"/>
    </row>
    <row r="144" spans="5:6" x14ac:dyDescent="0.35">
      <c r="E144" s="7"/>
    </row>
    <row r="145" spans="5:5" x14ac:dyDescent="0.35">
      <c r="E145" s="7"/>
    </row>
    <row r="146" spans="5:5" x14ac:dyDescent="0.35">
      <c r="E146" s="7"/>
    </row>
    <row r="147" spans="5:5" x14ac:dyDescent="0.35">
      <c r="E147" s="7"/>
    </row>
    <row r="148" spans="5:5" x14ac:dyDescent="0.35">
      <c r="E148" s="7"/>
    </row>
    <row r="150" spans="5:5" x14ac:dyDescent="0.35">
      <c r="E150" s="6"/>
    </row>
    <row r="151" spans="5:5" x14ac:dyDescent="0.35">
      <c r="E151" s="7"/>
    </row>
    <row r="152" spans="5:5" x14ac:dyDescent="0.35">
      <c r="E152" s="7"/>
    </row>
    <row r="153" spans="5:5" x14ac:dyDescent="0.35">
      <c r="E153" s="7"/>
    </row>
    <row r="154" spans="5:5" x14ac:dyDescent="0.35">
      <c r="E154" s="7"/>
    </row>
    <row r="155" spans="5:5" x14ac:dyDescent="0.35">
      <c r="E155" s="7"/>
    </row>
    <row r="156" spans="5:5" x14ac:dyDescent="0.35">
      <c r="E156" s="7"/>
    </row>
    <row r="157" spans="5:5" x14ac:dyDescent="0.35">
      <c r="E157" s="7"/>
    </row>
  </sheetData>
  <mergeCells count="1">
    <mergeCell ref="H2:I2"/>
  </mergeCells>
  <conditionalFormatting sqref="D32:D38 D52:D55 D59:D62 D16:D28 I49:I55 D5:D13 D42:D48 I11:I19 I23:I36 I40:I45 I59:I62">
    <cfRule type="cellIs" dxfId="780" priority="1" stopIfTrue="1" operator="lessThan">
      <formula>0</formula>
    </cfRule>
  </conditionalFormatting>
  <pageMargins left="0.5" right="0.5" top="0.35" bottom="0.35" header="0.5" footer="0.25"/>
  <pageSetup scale="80" orientation="portrait" r:id="rId1"/>
  <headerFooter alignWithMargins="0"/>
  <drawing r:id="rId2"/>
  <tableParts count="11">
    <tablePart r:id="rId3"/>
    <tablePart r:id="rId4"/>
    <tablePart r:id="rId5"/>
    <tablePart r:id="rId6"/>
    <tablePart r:id="rId7"/>
    <tablePart r:id="rId8"/>
    <tablePart r:id="rId9"/>
    <tablePart r:id="rId10"/>
    <tablePart r:id="rId11"/>
    <tablePart r:id="rId12"/>
    <tablePart r:id="rId1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157"/>
  <sheetViews>
    <sheetView showGridLines="0" workbookViewId="0"/>
  </sheetViews>
  <sheetFormatPr defaultColWidth="9" defaultRowHeight="14.4" x14ac:dyDescent="0.35"/>
  <cols>
    <col min="1" max="1" width="22.5" style="1" customWidth="1"/>
    <col min="2" max="4" width="9.59765625" style="1" customWidth="1"/>
    <col min="5" max="5" width="2.59765625" style="1" customWidth="1"/>
    <col min="6" max="6" width="22.5" style="1" customWidth="1"/>
    <col min="7" max="9" width="9.59765625" style="1" customWidth="1"/>
    <col min="10" max="16384" width="9" style="1"/>
  </cols>
  <sheetData>
    <row r="1" spans="1:15" ht="26.1" customHeight="1" x14ac:dyDescent="0.35">
      <c r="A1" s="28" t="s">
        <v>112</v>
      </c>
      <c r="B1" s="28"/>
      <c r="C1" s="28"/>
      <c r="D1" s="28"/>
      <c r="E1" s="28"/>
      <c r="F1" s="28"/>
      <c r="G1" s="28"/>
      <c r="H1" s="28"/>
      <c r="I1" s="28"/>
    </row>
    <row r="2" spans="1:15" s="2" customFormat="1" ht="13.8" x14ac:dyDescent="0.3">
      <c r="A2" s="50"/>
      <c r="B2" s="27"/>
      <c r="C2" s="27"/>
      <c r="D2" s="27"/>
      <c r="E2" s="25"/>
      <c r="F2" s="25"/>
      <c r="G2" s="26"/>
      <c r="H2" s="63"/>
      <c r="I2" s="63"/>
    </row>
    <row r="3" spans="1:15" s="2" customFormat="1" ht="12" x14ac:dyDescent="0.3">
      <c r="E3" s="3"/>
    </row>
    <row r="4" spans="1:15" x14ac:dyDescent="0.35">
      <c r="A4" s="17" t="s">
        <v>3</v>
      </c>
      <c r="B4" s="18" t="s">
        <v>74</v>
      </c>
      <c r="C4" s="19" t="s">
        <v>2</v>
      </c>
      <c r="D4" s="19" t="s">
        <v>70</v>
      </c>
      <c r="E4" s="15" t="s">
        <v>73</v>
      </c>
      <c r="F4" s="21" t="s">
        <v>76</v>
      </c>
      <c r="G4" s="22" t="s">
        <v>74</v>
      </c>
      <c r="H4" s="22" t="s">
        <v>2</v>
      </c>
      <c r="I4" s="22" t="s">
        <v>70</v>
      </c>
    </row>
    <row r="5" spans="1:15" ht="15" x14ac:dyDescent="0.35">
      <c r="A5" s="4" t="s">
        <v>13</v>
      </c>
      <c r="B5" s="53">
        <v>0</v>
      </c>
      <c r="C5" s="53">
        <v>0</v>
      </c>
      <c r="D5" s="9">
        <f t="shared" ref="D5:D11" si="0">C5-B5</f>
        <v>0</v>
      </c>
      <c r="E5" s="8"/>
      <c r="F5" s="23" t="s">
        <v>4</v>
      </c>
      <c r="G5" s="61">
        <f>Table2[[#Totals],[Budget]]</f>
        <v>0</v>
      </c>
      <c r="H5" s="61">
        <f>Table2[[#Totals],[Actual]]</f>
        <v>0</v>
      </c>
      <c r="I5" s="61">
        <f>G5-H5</f>
        <v>0</v>
      </c>
      <c r="L5"/>
    </row>
    <row r="6" spans="1:15" ht="15.6" thickBot="1" x14ac:dyDescent="0.4">
      <c r="A6" s="4" t="s">
        <v>7</v>
      </c>
      <c r="B6" s="53"/>
      <c r="C6" s="53"/>
      <c r="D6" s="9">
        <f t="shared" si="0"/>
        <v>0</v>
      </c>
      <c r="E6" s="8"/>
      <c r="F6" s="23" t="s">
        <v>5</v>
      </c>
      <c r="G6" s="61">
        <f>SUM(,Table5[[#Totals],[Budget]],Table20[[#Totals],[Budget]],Table21[[#Totals],[Budget]],Table19[[#Totals],[Budget]],Table15[[#Totals],[Budget]],Table14[[#Totals],[Budget]],Table10[[#Totals],[Budget]],Table8[[#Totals],[Budget]],Table7[[#Totals],[Budget]],Table6[[#Totals],[Budget]])</f>
        <v>0</v>
      </c>
      <c r="H6" s="61">
        <f>SUM(Table5[[#Totals],[Actual]],Table20[[#Totals],[Actual]],Table21[[#Totals],[Actual]],Table19[[#Totals],[Actual]],Table15[[#Totals],[Actual]],Table14[[#Totals],[Actual]],Table10[[#Totals],[Actual]],Table8[[#Totals],[Actual]],Table7[[#Totals],[Actual]],Table6[[#Totals],[Actual]])</f>
        <v>0</v>
      </c>
      <c r="I6" s="61">
        <f>G6-H6</f>
        <v>0</v>
      </c>
      <c r="L6"/>
    </row>
    <row r="7" spans="1:15" ht="15" thickTop="1" x14ac:dyDescent="0.35">
      <c r="A7" s="4" t="s">
        <v>8</v>
      </c>
      <c r="B7" s="53"/>
      <c r="C7" s="53"/>
      <c r="D7" s="9">
        <f t="shared" si="0"/>
        <v>0</v>
      </c>
      <c r="E7" s="8"/>
      <c r="F7" s="24" t="s">
        <v>6</v>
      </c>
      <c r="G7" s="62">
        <f>G5-G6</f>
        <v>0</v>
      </c>
      <c r="H7" s="62">
        <f>H5-H6</f>
        <v>0</v>
      </c>
      <c r="I7" s="62">
        <f>H7-G7</f>
        <v>0</v>
      </c>
    </row>
    <row r="8" spans="1:15" s="2" customFormat="1" x14ac:dyDescent="0.35">
      <c r="A8" s="4" t="s">
        <v>12</v>
      </c>
      <c r="B8" s="53"/>
      <c r="C8" s="53"/>
      <c r="D8" s="9">
        <f t="shared" si="0"/>
        <v>0</v>
      </c>
      <c r="E8" s="10"/>
      <c r="F8" s="10"/>
      <c r="G8" s="10"/>
      <c r="H8" s="10"/>
      <c r="I8" s="10"/>
    </row>
    <row r="9" spans="1:15" x14ac:dyDescent="0.35">
      <c r="A9" s="4" t="s">
        <v>75</v>
      </c>
      <c r="B9" s="53"/>
      <c r="C9" s="53"/>
      <c r="D9" s="9">
        <f t="shared" si="0"/>
        <v>0</v>
      </c>
      <c r="E9" s="8"/>
      <c r="F9" s="10"/>
      <c r="G9" s="10"/>
      <c r="H9" s="10"/>
      <c r="I9" s="10"/>
    </row>
    <row r="10" spans="1:15" x14ac:dyDescent="0.35">
      <c r="A10" s="4" t="s">
        <v>71</v>
      </c>
      <c r="B10" s="53"/>
      <c r="C10" s="53"/>
      <c r="D10" s="9">
        <f t="shared" si="0"/>
        <v>0</v>
      </c>
      <c r="E10" s="8"/>
      <c r="F10" s="17" t="s">
        <v>38</v>
      </c>
      <c r="G10" s="18" t="s">
        <v>74</v>
      </c>
      <c r="H10" s="19" t="s">
        <v>2</v>
      </c>
      <c r="I10" s="19" t="s">
        <v>70</v>
      </c>
    </row>
    <row r="11" spans="1:15" x14ac:dyDescent="0.35">
      <c r="A11" s="4" t="s">
        <v>18</v>
      </c>
      <c r="B11" s="53"/>
      <c r="C11" s="53"/>
      <c r="D11" s="9">
        <f t="shared" si="0"/>
        <v>0</v>
      </c>
      <c r="E11" s="8"/>
      <c r="F11" s="4" t="s">
        <v>10</v>
      </c>
      <c r="G11" s="57"/>
      <c r="H11" s="57"/>
      <c r="I11" s="56">
        <f t="shared" ref="I11" si="1">G11-H11</f>
        <v>0</v>
      </c>
    </row>
    <row r="12" spans="1:15" x14ac:dyDescent="0.35">
      <c r="A12" s="4" t="s">
        <v>18</v>
      </c>
      <c r="B12" s="54"/>
      <c r="C12" s="54"/>
      <c r="D12" s="9">
        <f>C12-B12</f>
        <v>0</v>
      </c>
      <c r="E12" s="8"/>
      <c r="F12" s="4" t="s">
        <v>39</v>
      </c>
      <c r="G12" s="57"/>
      <c r="H12" s="57"/>
      <c r="I12" s="56">
        <f t="shared" ref="I12:I15" si="2">G12-H12</f>
        <v>0</v>
      </c>
    </row>
    <row r="13" spans="1:15" x14ac:dyDescent="0.35">
      <c r="A13" s="20" t="str">
        <f>"Total " &amp; Table2[[#Headers],[INCOME]]</f>
        <v>Total INCOME</v>
      </c>
      <c r="B13" s="55">
        <f>SUBTOTAL(9,Table2[Budget])</f>
        <v>0</v>
      </c>
      <c r="C13" s="55">
        <f>SUBTOTAL(9,Table2[Actual])</f>
        <v>0</v>
      </c>
      <c r="D13" s="11">
        <f>SUBTOTAL(9,Table2[Difference])</f>
        <v>0</v>
      </c>
      <c r="E13" s="8"/>
      <c r="F13" s="4" t="s">
        <v>9</v>
      </c>
      <c r="G13" s="57"/>
      <c r="H13" s="57"/>
      <c r="I13" s="56">
        <f t="shared" si="2"/>
        <v>0</v>
      </c>
    </row>
    <row r="14" spans="1:15" x14ac:dyDescent="0.35">
      <c r="A14" s="8"/>
      <c r="B14" s="8"/>
      <c r="C14" s="8"/>
      <c r="D14" s="8"/>
      <c r="E14" s="8"/>
      <c r="F14" s="4" t="s">
        <v>105</v>
      </c>
      <c r="G14" s="57"/>
      <c r="H14" s="57"/>
      <c r="I14" s="56">
        <f t="shared" si="2"/>
        <v>0</v>
      </c>
    </row>
    <row r="15" spans="1:15" x14ac:dyDescent="0.35">
      <c r="A15" s="17" t="s">
        <v>15</v>
      </c>
      <c r="B15" s="18" t="s">
        <v>74</v>
      </c>
      <c r="C15" s="19" t="s">
        <v>2</v>
      </c>
      <c r="D15" s="19" t="s">
        <v>70</v>
      </c>
      <c r="E15" s="8"/>
      <c r="F15" s="4" t="s">
        <v>106</v>
      </c>
      <c r="G15" s="57"/>
      <c r="H15" s="57"/>
      <c r="I15" s="56">
        <f t="shared" si="2"/>
        <v>0</v>
      </c>
    </row>
    <row r="16" spans="1:15" ht="15" x14ac:dyDescent="0.35">
      <c r="A16" s="4" t="s">
        <v>60</v>
      </c>
      <c r="B16" s="53"/>
      <c r="C16" s="53"/>
      <c r="D16" s="56"/>
      <c r="E16" s="8"/>
      <c r="F16" s="4" t="s">
        <v>61</v>
      </c>
      <c r="G16" s="57"/>
      <c r="H16" s="57"/>
      <c r="I16" s="56">
        <f t="shared" ref="I16:I19" si="3">G16-H16</f>
        <v>0</v>
      </c>
      <c r="O16"/>
    </row>
    <row r="17" spans="1:9" x14ac:dyDescent="0.35">
      <c r="A17" s="4" t="s">
        <v>98</v>
      </c>
      <c r="B17" s="53"/>
      <c r="C17" s="53"/>
      <c r="D17" s="56"/>
      <c r="E17" s="8"/>
      <c r="F17" s="4" t="s">
        <v>62</v>
      </c>
      <c r="G17" s="57"/>
      <c r="H17" s="57"/>
      <c r="I17" s="56">
        <f t="shared" si="3"/>
        <v>0</v>
      </c>
    </row>
    <row r="18" spans="1:9" x14ac:dyDescent="0.35">
      <c r="A18" s="4" t="s">
        <v>16</v>
      </c>
      <c r="B18" s="53"/>
      <c r="C18" s="53"/>
      <c r="D18" s="56"/>
      <c r="E18" s="8"/>
      <c r="F18" s="4" t="s">
        <v>107</v>
      </c>
      <c r="G18" s="57"/>
      <c r="H18" s="57"/>
      <c r="I18" s="56">
        <f t="shared" si="3"/>
        <v>0</v>
      </c>
    </row>
    <row r="19" spans="1:9" x14ac:dyDescent="0.35">
      <c r="A19" s="4" t="s">
        <v>59</v>
      </c>
      <c r="B19" s="53"/>
      <c r="C19" s="53"/>
      <c r="D19" s="56"/>
      <c r="E19" s="8"/>
      <c r="F19" s="4" t="s">
        <v>18</v>
      </c>
      <c r="G19" s="57"/>
      <c r="H19" s="57"/>
      <c r="I19" s="56">
        <f t="shared" si="3"/>
        <v>0</v>
      </c>
    </row>
    <row r="20" spans="1:9" s="5" customFormat="1" x14ac:dyDescent="0.35">
      <c r="A20" s="4" t="s">
        <v>58</v>
      </c>
      <c r="B20" s="53"/>
      <c r="C20" s="53"/>
      <c r="D20" s="56"/>
      <c r="E20" s="8"/>
      <c r="F20" s="20" t="str">
        <f>"Total " &amp; Table6[[#Headers],[DAILY LIVING]]</f>
        <v>Total DAILY LIVING</v>
      </c>
      <c r="G20" s="55">
        <f>SUBTOTAL(9,Table6[Budget])</f>
        <v>0</v>
      </c>
      <c r="H20" s="55">
        <f>SUBTOTAL(9,Table6[Actual])</f>
        <v>0</v>
      </c>
      <c r="I20" s="58">
        <f>SUBTOTAL(9,Table6[Difference])</f>
        <v>0</v>
      </c>
    </row>
    <row r="21" spans="1:9" x14ac:dyDescent="0.35">
      <c r="A21" s="4" t="s">
        <v>20</v>
      </c>
      <c r="B21" s="53"/>
      <c r="C21" s="53"/>
      <c r="D21" s="56"/>
      <c r="E21" s="8"/>
      <c r="F21" s="8"/>
      <c r="G21" s="14"/>
      <c r="H21" s="14"/>
      <c r="I21" s="14"/>
    </row>
    <row r="22" spans="1:9" x14ac:dyDescent="0.35">
      <c r="A22" s="4" t="s">
        <v>57</v>
      </c>
      <c r="B22" s="53"/>
      <c r="C22" s="53"/>
      <c r="D22" s="56"/>
      <c r="E22" s="8"/>
      <c r="F22" s="17" t="s">
        <v>29</v>
      </c>
      <c r="G22" s="18" t="s">
        <v>74</v>
      </c>
      <c r="H22" s="19" t="s">
        <v>2</v>
      </c>
      <c r="I22" s="19" t="s">
        <v>70</v>
      </c>
    </row>
    <row r="23" spans="1:9" x14ac:dyDescent="0.35">
      <c r="A23" s="4" t="s">
        <v>17</v>
      </c>
      <c r="B23" s="53"/>
      <c r="C23" s="53"/>
      <c r="D23" s="56"/>
      <c r="E23" s="8"/>
      <c r="F23" s="4" t="s">
        <v>64</v>
      </c>
      <c r="G23" s="57"/>
      <c r="H23" s="57"/>
      <c r="I23" s="56">
        <f t="shared" ref="I23:I36" si="4">G23-H23</f>
        <v>0</v>
      </c>
    </row>
    <row r="24" spans="1:9" x14ac:dyDescent="0.35">
      <c r="A24" s="4" t="s">
        <v>56</v>
      </c>
      <c r="B24" s="53"/>
      <c r="C24" s="53"/>
      <c r="D24" s="56"/>
      <c r="E24" s="8"/>
      <c r="F24" s="4" t="s">
        <v>0</v>
      </c>
      <c r="G24" s="57"/>
      <c r="H24" s="57"/>
      <c r="I24" s="56">
        <f t="shared" si="4"/>
        <v>0</v>
      </c>
    </row>
    <row r="25" spans="1:9" x14ac:dyDescent="0.35">
      <c r="A25" s="4" t="s">
        <v>55</v>
      </c>
      <c r="B25" s="53"/>
      <c r="C25" s="53"/>
      <c r="D25" s="56"/>
      <c r="E25" s="8"/>
      <c r="F25" s="4" t="s">
        <v>67</v>
      </c>
      <c r="G25" s="57"/>
      <c r="H25" s="57"/>
      <c r="I25" s="56">
        <f t="shared" si="4"/>
        <v>0</v>
      </c>
    </row>
    <row r="26" spans="1:9" x14ac:dyDescent="0.35">
      <c r="A26" s="4" t="s">
        <v>99</v>
      </c>
      <c r="B26" s="53"/>
      <c r="C26" s="53"/>
      <c r="D26" s="56"/>
      <c r="E26" s="8"/>
      <c r="F26" s="4" t="s">
        <v>33</v>
      </c>
      <c r="G26" s="57"/>
      <c r="H26" s="57"/>
      <c r="I26" s="56">
        <f t="shared" ref="I26:I30" si="5">G26-H26</f>
        <v>0</v>
      </c>
    </row>
    <row r="27" spans="1:9" x14ac:dyDescent="0.35">
      <c r="A27" s="4" t="s">
        <v>19</v>
      </c>
      <c r="B27" s="53"/>
      <c r="C27" s="53"/>
      <c r="D27" s="56"/>
      <c r="E27" s="8"/>
      <c r="F27" s="4" t="s">
        <v>63</v>
      </c>
      <c r="G27" s="57"/>
      <c r="H27" s="57"/>
      <c r="I27" s="56">
        <f t="shared" si="5"/>
        <v>0</v>
      </c>
    </row>
    <row r="28" spans="1:9" x14ac:dyDescent="0.35">
      <c r="A28" s="4" t="s">
        <v>18</v>
      </c>
      <c r="B28" s="57"/>
      <c r="C28" s="57"/>
      <c r="D28" s="56"/>
      <c r="E28" s="8"/>
      <c r="F28" s="4" t="s">
        <v>65</v>
      </c>
      <c r="G28" s="57"/>
      <c r="H28" s="57"/>
      <c r="I28" s="56">
        <f t="shared" si="5"/>
        <v>0</v>
      </c>
    </row>
    <row r="29" spans="1:9" x14ac:dyDescent="0.35">
      <c r="A29" s="20" t="str">
        <f>"Total " &amp; Table5[[#Headers],[HOME EXPENSES]]</f>
        <v>Total HOME EXPENSES</v>
      </c>
      <c r="B29" s="55" t="s">
        <v>113</v>
      </c>
      <c r="C29" s="55" t="s">
        <v>113</v>
      </c>
      <c r="D29" s="58"/>
      <c r="E29" s="8"/>
      <c r="F29" s="4" t="s">
        <v>30</v>
      </c>
      <c r="G29" s="57"/>
      <c r="H29" s="57"/>
      <c r="I29" s="56">
        <f t="shared" si="5"/>
        <v>0</v>
      </c>
    </row>
    <row r="30" spans="1:9" x14ac:dyDescent="0.35">
      <c r="A30" s="8"/>
      <c r="B30" s="14"/>
      <c r="C30" s="14"/>
      <c r="D30" s="14"/>
      <c r="E30" s="8"/>
      <c r="F30" s="4" t="s">
        <v>35</v>
      </c>
      <c r="G30" s="57"/>
      <c r="H30" s="57"/>
      <c r="I30" s="56">
        <f t="shared" si="5"/>
        <v>0</v>
      </c>
    </row>
    <row r="31" spans="1:9" x14ac:dyDescent="0.35">
      <c r="A31" s="17" t="s">
        <v>21</v>
      </c>
      <c r="B31" s="18" t="s">
        <v>74</v>
      </c>
      <c r="C31" s="19" t="s">
        <v>2</v>
      </c>
      <c r="D31" s="19" t="s">
        <v>70</v>
      </c>
      <c r="E31" s="8"/>
      <c r="F31" s="4" t="s">
        <v>66</v>
      </c>
      <c r="G31" s="57"/>
      <c r="H31" s="57"/>
      <c r="I31" s="56">
        <f t="shared" si="4"/>
        <v>0</v>
      </c>
    </row>
    <row r="32" spans="1:9" x14ac:dyDescent="0.35">
      <c r="A32" s="4" t="s">
        <v>22</v>
      </c>
      <c r="B32" s="57"/>
      <c r="C32" s="57"/>
      <c r="D32" s="56">
        <f>B32-C32</f>
        <v>0</v>
      </c>
      <c r="E32" s="8"/>
      <c r="F32" s="4" t="s">
        <v>36</v>
      </c>
      <c r="G32" s="57"/>
      <c r="H32" s="57"/>
      <c r="I32" s="56">
        <f t="shared" si="4"/>
        <v>0</v>
      </c>
    </row>
    <row r="33" spans="1:9" x14ac:dyDescent="0.35">
      <c r="A33" s="4" t="s">
        <v>100</v>
      </c>
      <c r="B33" s="57"/>
      <c r="C33" s="57"/>
      <c r="D33" s="56">
        <f t="shared" ref="D33:D38" si="6">B33-C33</f>
        <v>0</v>
      </c>
      <c r="E33" s="8"/>
      <c r="F33" s="4" t="s">
        <v>34</v>
      </c>
      <c r="G33" s="57"/>
      <c r="H33" s="57"/>
      <c r="I33" s="56">
        <f t="shared" si="4"/>
        <v>0</v>
      </c>
    </row>
    <row r="34" spans="1:9" x14ac:dyDescent="0.35">
      <c r="A34" s="4" t="s">
        <v>23</v>
      </c>
      <c r="B34" s="57"/>
      <c r="C34" s="57"/>
      <c r="D34" s="56">
        <f>B34-C34</f>
        <v>0</v>
      </c>
      <c r="E34" s="8"/>
      <c r="F34" s="4" t="s">
        <v>68</v>
      </c>
      <c r="G34" s="57"/>
      <c r="H34" s="57"/>
      <c r="I34" s="56">
        <f t="shared" si="4"/>
        <v>0</v>
      </c>
    </row>
    <row r="35" spans="1:9" x14ac:dyDescent="0.35">
      <c r="A35" s="4" t="s">
        <v>53</v>
      </c>
      <c r="B35" s="57"/>
      <c r="C35" s="57"/>
      <c r="D35" s="56">
        <f t="shared" si="6"/>
        <v>0</v>
      </c>
      <c r="E35" s="8"/>
      <c r="F35" s="4" t="s">
        <v>108</v>
      </c>
      <c r="G35" s="57"/>
      <c r="H35" s="57"/>
      <c r="I35" s="56">
        <f t="shared" si="4"/>
        <v>0</v>
      </c>
    </row>
    <row r="36" spans="1:9" x14ac:dyDescent="0.35">
      <c r="A36" s="4" t="s">
        <v>24</v>
      </c>
      <c r="B36" s="57"/>
      <c r="C36" s="57"/>
      <c r="D36" s="56">
        <f t="shared" si="6"/>
        <v>0</v>
      </c>
      <c r="E36" s="8"/>
      <c r="F36" s="4" t="s">
        <v>18</v>
      </c>
      <c r="G36" s="57"/>
      <c r="H36" s="57"/>
      <c r="I36" s="56">
        <f t="shared" si="4"/>
        <v>0</v>
      </c>
    </row>
    <row r="37" spans="1:9" x14ac:dyDescent="0.35">
      <c r="A37" s="4" t="s">
        <v>54</v>
      </c>
      <c r="B37" s="57"/>
      <c r="C37" s="57"/>
      <c r="D37" s="56">
        <f t="shared" si="6"/>
        <v>0</v>
      </c>
      <c r="E37" s="8"/>
      <c r="F37" s="20" t="str">
        <f>"Total " &amp; Table7[[#Headers],[ENTERTAINMENT]]</f>
        <v>Total ENTERTAINMENT</v>
      </c>
      <c r="G37" s="55">
        <f>SUBTOTAL(9,Table7[Budget])</f>
        <v>0</v>
      </c>
      <c r="H37" s="55">
        <f>SUBTOTAL(9,Table7[Actual])</f>
        <v>0</v>
      </c>
      <c r="I37" s="58">
        <f>SUBTOTAL(9,Table7[Difference])</f>
        <v>0</v>
      </c>
    </row>
    <row r="38" spans="1:9" x14ac:dyDescent="0.35">
      <c r="A38" s="4" t="s">
        <v>18</v>
      </c>
      <c r="B38" s="57"/>
      <c r="C38" s="57"/>
      <c r="D38" s="56">
        <f t="shared" si="6"/>
        <v>0</v>
      </c>
      <c r="E38" s="8"/>
      <c r="F38" s="8"/>
      <c r="G38" s="14"/>
      <c r="H38" s="14"/>
      <c r="I38" s="14"/>
    </row>
    <row r="39" spans="1:9" x14ac:dyDescent="0.35">
      <c r="A39" s="20" t="str">
        <f>"Total " &amp; Table20[[#Headers],[TRANSPORTATION]]</f>
        <v>Total TRANSPORTATION</v>
      </c>
      <c r="B39" s="55">
        <f>SUBTOTAL(9,Table20[Budget])</f>
        <v>0</v>
      </c>
      <c r="C39" s="55">
        <f>SUBTOTAL(9,Table20[Actual])</f>
        <v>0</v>
      </c>
      <c r="D39" s="58">
        <f>SUBTOTAL(9,Table20[Difference])</f>
        <v>0</v>
      </c>
      <c r="E39" s="8"/>
      <c r="F39" s="17" t="s">
        <v>46</v>
      </c>
      <c r="G39" s="18" t="s">
        <v>74</v>
      </c>
      <c r="H39" s="19" t="s">
        <v>2</v>
      </c>
      <c r="I39" s="19" t="s">
        <v>70</v>
      </c>
    </row>
    <row r="40" spans="1:9" x14ac:dyDescent="0.35">
      <c r="A40" s="8"/>
      <c r="B40" s="14"/>
      <c r="C40" s="14"/>
      <c r="D40" s="14"/>
      <c r="E40" s="8"/>
      <c r="F40" s="4" t="s">
        <v>43</v>
      </c>
      <c r="G40" s="57"/>
      <c r="H40" s="57"/>
      <c r="I40" s="56">
        <f>G40-H40</f>
        <v>0</v>
      </c>
    </row>
    <row r="41" spans="1:9" x14ac:dyDescent="0.35">
      <c r="A41" s="17" t="s">
        <v>25</v>
      </c>
      <c r="B41" s="18" t="s">
        <v>74</v>
      </c>
      <c r="C41" s="19" t="s">
        <v>2</v>
      </c>
      <c r="D41" s="19" t="s">
        <v>70</v>
      </c>
      <c r="E41" s="8"/>
      <c r="F41" s="4" t="s">
        <v>44</v>
      </c>
      <c r="G41" s="57"/>
      <c r="H41" s="57"/>
      <c r="I41" s="56">
        <f t="shared" ref="I41:I42" si="7">G41-H41</f>
        <v>0</v>
      </c>
    </row>
    <row r="42" spans="1:9" x14ac:dyDescent="0.35">
      <c r="A42" s="4" t="s">
        <v>101</v>
      </c>
      <c r="B42" s="57"/>
      <c r="C42" s="57"/>
      <c r="D42" s="56">
        <f t="shared" ref="D42:D48" si="8">B42-C42</f>
        <v>0</v>
      </c>
      <c r="E42" s="8"/>
      <c r="F42" s="4" t="s">
        <v>47</v>
      </c>
      <c r="G42" s="57"/>
      <c r="H42" s="57"/>
      <c r="I42" s="56">
        <f t="shared" si="7"/>
        <v>0</v>
      </c>
    </row>
    <row r="43" spans="1:9" x14ac:dyDescent="0.35">
      <c r="A43" s="4" t="s">
        <v>26</v>
      </c>
      <c r="B43" s="57"/>
      <c r="C43" s="57"/>
      <c r="D43" s="56">
        <f t="shared" si="8"/>
        <v>0</v>
      </c>
      <c r="E43" s="8"/>
      <c r="F43" s="4" t="s">
        <v>45</v>
      </c>
      <c r="G43" s="57"/>
      <c r="H43" s="57"/>
      <c r="I43" s="56">
        <f>G43-H43</f>
        <v>0</v>
      </c>
    </row>
    <row r="44" spans="1:9" x14ac:dyDescent="0.35">
      <c r="A44" s="4" t="s">
        <v>27</v>
      </c>
      <c r="B44" s="57"/>
      <c r="C44" s="57"/>
      <c r="D44" s="56">
        <f t="shared" si="8"/>
        <v>0</v>
      </c>
      <c r="E44" s="8"/>
      <c r="F44" s="4" t="s">
        <v>109</v>
      </c>
      <c r="G44" s="57"/>
      <c r="H44" s="57"/>
      <c r="I44" s="56">
        <f>G44-H44</f>
        <v>0</v>
      </c>
    </row>
    <row r="45" spans="1:9" x14ac:dyDescent="0.35">
      <c r="A45" s="4" t="s">
        <v>28</v>
      </c>
      <c r="B45" s="57"/>
      <c r="C45" s="57"/>
      <c r="D45" s="56">
        <f t="shared" si="8"/>
        <v>0</v>
      </c>
      <c r="E45" s="8"/>
      <c r="F45" s="4" t="s">
        <v>18</v>
      </c>
      <c r="G45" s="57"/>
      <c r="H45" s="57"/>
      <c r="I45" s="56">
        <f>G45-H45</f>
        <v>0</v>
      </c>
    </row>
    <row r="46" spans="1:9" x14ac:dyDescent="0.35">
      <c r="A46" s="4" t="s">
        <v>102</v>
      </c>
      <c r="B46" s="57"/>
      <c r="C46" s="57"/>
      <c r="D46" s="56">
        <f t="shared" si="8"/>
        <v>0</v>
      </c>
      <c r="E46" s="8"/>
      <c r="F46" s="20" t="str">
        <f>"Total " &amp; Table8[[#Headers],[SAVINGS]]</f>
        <v>Total SAVINGS</v>
      </c>
      <c r="G46" s="55">
        <f>SUBTOTAL(9,Table8[Budget])</f>
        <v>0</v>
      </c>
      <c r="H46" s="55">
        <f>SUBTOTAL(9,Table8[Actual])</f>
        <v>0</v>
      </c>
      <c r="I46" s="58">
        <f>SUBTOTAL(9,Table8[Difference])</f>
        <v>0</v>
      </c>
    </row>
    <row r="47" spans="1:9" x14ac:dyDescent="0.35">
      <c r="A47" s="4" t="s">
        <v>103</v>
      </c>
      <c r="B47" s="57"/>
      <c r="C47" s="57"/>
      <c r="D47" s="56">
        <f t="shared" si="8"/>
        <v>0</v>
      </c>
      <c r="E47" s="8"/>
      <c r="F47" s="8"/>
      <c r="G47" s="14"/>
      <c r="H47" s="14"/>
      <c r="I47" s="14"/>
    </row>
    <row r="48" spans="1:9" x14ac:dyDescent="0.35">
      <c r="A48" s="4" t="s">
        <v>18</v>
      </c>
      <c r="B48" s="57"/>
      <c r="C48" s="57"/>
      <c r="D48" s="56">
        <f t="shared" si="8"/>
        <v>0</v>
      </c>
      <c r="E48" s="8"/>
      <c r="F48" s="17" t="s">
        <v>48</v>
      </c>
      <c r="G48" s="18" t="s">
        <v>74</v>
      </c>
      <c r="H48" s="19" t="s">
        <v>2</v>
      </c>
      <c r="I48" s="19" t="s">
        <v>70</v>
      </c>
    </row>
    <row r="49" spans="1:9" x14ac:dyDescent="0.35">
      <c r="A49" s="20" t="str">
        <f>"Total " &amp; Table21[[#Headers],[HEALTH]]</f>
        <v>Total HEALTH</v>
      </c>
      <c r="B49" s="55">
        <f>SUBTOTAL(9,Table21[Budget])</f>
        <v>0</v>
      </c>
      <c r="C49" s="55">
        <f>SUBTOTAL(9,Table21[Actual])</f>
        <v>0</v>
      </c>
      <c r="D49" s="58">
        <f>SUBTOTAL(9,Table21[Difference])</f>
        <v>0</v>
      </c>
      <c r="E49" s="8"/>
      <c r="F49" s="4" t="s">
        <v>49</v>
      </c>
      <c r="G49" s="57"/>
      <c r="H49" s="57"/>
      <c r="I49" s="56">
        <f t="shared" ref="I49:I55" si="9">G49-H49</f>
        <v>0</v>
      </c>
    </row>
    <row r="50" spans="1:9" x14ac:dyDescent="0.35">
      <c r="A50" s="8"/>
      <c r="B50" s="14"/>
      <c r="C50" s="14"/>
      <c r="D50" s="14"/>
      <c r="E50" s="8"/>
      <c r="F50" s="4" t="s">
        <v>50</v>
      </c>
      <c r="G50" s="57"/>
      <c r="H50" s="57"/>
      <c r="I50" s="56">
        <f t="shared" si="9"/>
        <v>0</v>
      </c>
    </row>
    <row r="51" spans="1:9" x14ac:dyDescent="0.35">
      <c r="A51" s="17" t="s">
        <v>69</v>
      </c>
      <c r="B51" s="18" t="s">
        <v>74</v>
      </c>
      <c r="C51" s="19" t="s">
        <v>2</v>
      </c>
      <c r="D51" s="19" t="s">
        <v>70</v>
      </c>
      <c r="E51" s="8"/>
      <c r="F51" s="4" t="s">
        <v>110</v>
      </c>
      <c r="G51" s="57"/>
      <c r="H51" s="57"/>
      <c r="I51" s="56">
        <f t="shared" si="9"/>
        <v>0</v>
      </c>
    </row>
    <row r="52" spans="1:9" x14ac:dyDescent="0.35">
      <c r="A52" s="4" t="s">
        <v>11</v>
      </c>
      <c r="B52" s="57"/>
      <c r="C52" s="57"/>
      <c r="D52" s="59">
        <f t="shared" ref="D52:D55" si="10">B52-C52</f>
        <v>0</v>
      </c>
      <c r="E52" s="8"/>
      <c r="F52" s="4" t="s">
        <v>72</v>
      </c>
      <c r="G52" s="57"/>
      <c r="H52" s="57"/>
      <c r="I52" s="56">
        <f t="shared" si="9"/>
        <v>0</v>
      </c>
    </row>
    <row r="53" spans="1:9" x14ac:dyDescent="0.35">
      <c r="A53" s="4" t="s">
        <v>40</v>
      </c>
      <c r="B53" s="57"/>
      <c r="C53" s="57"/>
      <c r="D53" s="59">
        <f t="shared" si="10"/>
        <v>0</v>
      </c>
      <c r="E53" s="8"/>
      <c r="F53" s="4" t="s">
        <v>51</v>
      </c>
      <c r="G53" s="57"/>
      <c r="H53" s="57"/>
      <c r="I53" s="56">
        <f t="shared" si="9"/>
        <v>0</v>
      </c>
    </row>
    <row r="54" spans="1:9" x14ac:dyDescent="0.35">
      <c r="A54" s="4" t="s">
        <v>41</v>
      </c>
      <c r="B54" s="57"/>
      <c r="C54" s="57"/>
      <c r="D54" s="59">
        <f t="shared" si="10"/>
        <v>0</v>
      </c>
      <c r="E54" s="8"/>
      <c r="F54" s="4" t="s">
        <v>52</v>
      </c>
      <c r="G54" s="57"/>
      <c r="H54" s="57"/>
      <c r="I54" s="56">
        <f t="shared" si="9"/>
        <v>0</v>
      </c>
    </row>
    <row r="55" spans="1:9" x14ac:dyDescent="0.35">
      <c r="A55" s="4" t="s">
        <v>18</v>
      </c>
      <c r="B55" s="57"/>
      <c r="C55" s="57"/>
      <c r="D55" s="59">
        <f t="shared" si="10"/>
        <v>0</v>
      </c>
      <c r="E55" s="8"/>
      <c r="F55" s="4" t="s">
        <v>18</v>
      </c>
      <c r="G55" s="57"/>
      <c r="H55" s="57"/>
      <c r="I55" s="56">
        <f t="shared" si="9"/>
        <v>0</v>
      </c>
    </row>
    <row r="56" spans="1:9" x14ac:dyDescent="0.35">
      <c r="A56" s="20" t="str">
        <f>"Total " &amp; Table19[[#Headers],[CHARITY/GIFTS]]</f>
        <v>Total CHARITY/GIFTS</v>
      </c>
      <c r="B56" s="55">
        <f>SUBTOTAL(9,Table19[Budget])</f>
        <v>0</v>
      </c>
      <c r="C56" s="55">
        <f>SUBTOTAL(9,Table19[Actual])</f>
        <v>0</v>
      </c>
      <c r="D56" s="60">
        <f>SUBTOTAL(9,Table19[Difference])</f>
        <v>0</v>
      </c>
      <c r="E56" s="8"/>
      <c r="F56" s="20" t="str">
        <f>"Total " &amp; Table10[[#Headers],[OBLIGATIONS]]</f>
        <v>Total OBLIGATIONS</v>
      </c>
      <c r="G56" s="55">
        <f>SUBTOTAL(9,Table10[Budget])</f>
        <v>0</v>
      </c>
      <c r="H56" s="55">
        <f>SUBTOTAL(9,Table10[Actual])</f>
        <v>0</v>
      </c>
      <c r="I56" s="58">
        <f>SUBTOTAL(9,Table10[Difference])</f>
        <v>0</v>
      </c>
    </row>
    <row r="57" spans="1:9" x14ac:dyDescent="0.35">
      <c r="A57" s="8"/>
      <c r="B57" s="14"/>
      <c r="C57" s="14"/>
      <c r="D57" s="14"/>
      <c r="E57" s="8"/>
      <c r="F57" s="8"/>
      <c r="G57" s="14"/>
      <c r="H57" s="14"/>
      <c r="I57" s="14"/>
    </row>
    <row r="58" spans="1:9" x14ac:dyDescent="0.35">
      <c r="A58" s="17" t="s">
        <v>37</v>
      </c>
      <c r="B58" s="18" t="s">
        <v>74</v>
      </c>
      <c r="C58" s="19" t="s">
        <v>2</v>
      </c>
      <c r="D58" s="19" t="s">
        <v>70</v>
      </c>
      <c r="E58" s="8"/>
      <c r="F58" s="17" t="s">
        <v>14</v>
      </c>
      <c r="G58" s="18" t="s">
        <v>74</v>
      </c>
      <c r="H58" s="19" t="s">
        <v>2</v>
      </c>
      <c r="I58" s="19" t="s">
        <v>70</v>
      </c>
    </row>
    <row r="59" spans="1:9" x14ac:dyDescent="0.35">
      <c r="A59" s="4" t="s">
        <v>31</v>
      </c>
      <c r="B59" s="57"/>
      <c r="C59" s="57"/>
      <c r="D59" s="56">
        <f t="shared" ref="D59:D62" si="11">B59-C59</f>
        <v>0</v>
      </c>
      <c r="E59" s="8"/>
      <c r="F59" s="4" t="s">
        <v>42</v>
      </c>
      <c r="G59" s="53"/>
      <c r="H59" s="53"/>
      <c r="I59" s="56">
        <f t="shared" ref="I59:I62" si="12">G59-H59</f>
        <v>0</v>
      </c>
    </row>
    <row r="60" spans="1:9" x14ac:dyDescent="0.35">
      <c r="A60" s="4" t="s">
        <v>32</v>
      </c>
      <c r="B60" s="57"/>
      <c r="C60" s="57"/>
      <c r="D60" s="56">
        <f t="shared" si="11"/>
        <v>0</v>
      </c>
      <c r="E60" s="8"/>
      <c r="F60" s="4" t="s">
        <v>1</v>
      </c>
      <c r="G60" s="53"/>
      <c r="H60" s="53"/>
      <c r="I60" s="56">
        <f t="shared" si="12"/>
        <v>0</v>
      </c>
    </row>
    <row r="61" spans="1:9" x14ac:dyDescent="0.35">
      <c r="A61" s="4" t="s">
        <v>104</v>
      </c>
      <c r="B61" s="57"/>
      <c r="C61" s="57"/>
      <c r="D61" s="56">
        <f t="shared" si="11"/>
        <v>0</v>
      </c>
      <c r="E61" s="8"/>
      <c r="F61" s="4" t="s">
        <v>111</v>
      </c>
      <c r="G61" s="53"/>
      <c r="H61" s="53"/>
      <c r="I61" s="56">
        <f t="shared" si="12"/>
        <v>0</v>
      </c>
    </row>
    <row r="62" spans="1:9" x14ac:dyDescent="0.35">
      <c r="A62" s="4" t="s">
        <v>18</v>
      </c>
      <c r="B62" s="57"/>
      <c r="C62" s="57"/>
      <c r="D62" s="56">
        <f t="shared" si="11"/>
        <v>0</v>
      </c>
      <c r="E62" s="8"/>
      <c r="F62" s="4" t="s">
        <v>18</v>
      </c>
      <c r="G62" s="57"/>
      <c r="H62" s="57"/>
      <c r="I62" s="56">
        <f t="shared" si="12"/>
        <v>0</v>
      </c>
    </row>
    <row r="63" spans="1:9" x14ac:dyDescent="0.35">
      <c r="A63" s="20" t="str">
        <f>"Total " &amp; Table15[[#Headers],[SUBSCRIPTIONS]]</f>
        <v>Total SUBSCRIPTIONS</v>
      </c>
      <c r="B63" s="55">
        <f>SUBTOTAL(9,Table15[Budget])</f>
        <v>0</v>
      </c>
      <c r="C63" s="55">
        <f>SUBTOTAL(9,Table15[Actual])</f>
        <v>0</v>
      </c>
      <c r="D63" s="58">
        <f>SUBTOTAL(9,Table15[Difference])</f>
        <v>0</v>
      </c>
      <c r="E63" s="8"/>
      <c r="F63" s="20" t="str">
        <f>"Total " &amp; Table14[[#Headers],[MISCELLANEOUS]]</f>
        <v>Total MISCELLANEOUS</v>
      </c>
      <c r="G63" s="55">
        <f>SUBTOTAL(9,Table14[Budget])</f>
        <v>0</v>
      </c>
      <c r="H63" s="55">
        <f>SUBTOTAL(9,Table14[Actual])</f>
        <v>0</v>
      </c>
      <c r="I63" s="58">
        <f>SUBTOTAL(9,Table14[Difference])</f>
        <v>0</v>
      </c>
    </row>
    <row r="64" spans="1:9" x14ac:dyDescent="0.35">
      <c r="E64" s="8"/>
      <c r="F64" s="7"/>
    </row>
    <row r="65" spans="5:6" x14ac:dyDescent="0.35">
      <c r="E65" s="8"/>
      <c r="F65" s="7"/>
    </row>
    <row r="66" spans="5:6" x14ac:dyDescent="0.35">
      <c r="E66" s="8"/>
      <c r="F66" s="7"/>
    </row>
    <row r="67" spans="5:6" x14ac:dyDescent="0.35">
      <c r="E67" s="8"/>
      <c r="F67" s="7"/>
    </row>
    <row r="68" spans="5:6" x14ac:dyDescent="0.35">
      <c r="E68" s="8"/>
      <c r="F68" s="7"/>
    </row>
    <row r="69" spans="5:6" x14ac:dyDescent="0.35">
      <c r="E69" s="8"/>
      <c r="F69" s="7"/>
    </row>
    <row r="70" spans="5:6" x14ac:dyDescent="0.35">
      <c r="E70" s="8"/>
    </row>
    <row r="71" spans="5:6" x14ac:dyDescent="0.35">
      <c r="E71" s="8"/>
    </row>
    <row r="72" spans="5:6" x14ac:dyDescent="0.35">
      <c r="E72" s="8"/>
      <c r="F72" s="7"/>
    </row>
    <row r="73" spans="5:6" x14ac:dyDescent="0.35">
      <c r="E73" s="8"/>
      <c r="F73" s="7"/>
    </row>
    <row r="74" spans="5:6" x14ac:dyDescent="0.35">
      <c r="E74" s="12"/>
      <c r="F74" s="7"/>
    </row>
    <row r="75" spans="5:6" x14ac:dyDescent="0.35">
      <c r="E75" s="13"/>
      <c r="F75" s="7"/>
    </row>
    <row r="76" spans="5:6" x14ac:dyDescent="0.35">
      <c r="E76" s="13"/>
      <c r="F76" s="7"/>
    </row>
    <row r="77" spans="5:6" x14ac:dyDescent="0.35">
      <c r="E77" s="13"/>
      <c r="F77" s="7"/>
    </row>
    <row r="78" spans="5:6" x14ac:dyDescent="0.35">
      <c r="E78" s="13"/>
      <c r="F78" s="7"/>
    </row>
    <row r="79" spans="5:6" x14ac:dyDescent="0.35">
      <c r="E79" s="8"/>
      <c r="F79" s="7"/>
    </row>
    <row r="80" spans="5:6" x14ac:dyDescent="0.35">
      <c r="E80" s="12"/>
      <c r="F80" s="7"/>
    </row>
    <row r="81" spans="5:6" x14ac:dyDescent="0.35">
      <c r="E81" s="13"/>
      <c r="F81" s="7"/>
    </row>
    <row r="82" spans="5:6" x14ac:dyDescent="0.35">
      <c r="E82" s="13"/>
    </row>
    <row r="83" spans="5:6" x14ac:dyDescent="0.35">
      <c r="E83" s="13"/>
    </row>
    <row r="84" spans="5:6" x14ac:dyDescent="0.35">
      <c r="E84" s="16" t="s">
        <v>73</v>
      </c>
    </row>
    <row r="85" spans="5:6" x14ac:dyDescent="0.35">
      <c r="E85" s="13"/>
    </row>
    <row r="86" spans="5:6" x14ac:dyDescent="0.35">
      <c r="E86" s="13"/>
    </row>
    <row r="87" spans="5:6" x14ac:dyDescent="0.35">
      <c r="E87" s="13"/>
    </row>
    <row r="88" spans="5:6" x14ac:dyDescent="0.35">
      <c r="E88" s="13"/>
    </row>
    <row r="89" spans="5:6" x14ac:dyDescent="0.35">
      <c r="E89" s="13"/>
    </row>
    <row r="90" spans="5:6" x14ac:dyDescent="0.35">
      <c r="E90" s="8"/>
    </row>
    <row r="91" spans="5:6" x14ac:dyDescent="0.35">
      <c r="E91" s="12"/>
    </row>
    <row r="92" spans="5:6" x14ac:dyDescent="0.35">
      <c r="E92" s="7"/>
    </row>
    <row r="93" spans="5:6" x14ac:dyDescent="0.35">
      <c r="E93" s="7"/>
    </row>
    <row r="94" spans="5:6" x14ac:dyDescent="0.35">
      <c r="E94" s="7"/>
    </row>
    <row r="95" spans="5:6" x14ac:dyDescent="0.35">
      <c r="E95" s="7"/>
    </row>
    <row r="96" spans="5:6" x14ac:dyDescent="0.35">
      <c r="E96" s="7"/>
    </row>
    <row r="97" spans="5:5" x14ac:dyDescent="0.35">
      <c r="E97" s="7"/>
    </row>
    <row r="98" spans="5:5" x14ac:dyDescent="0.35">
      <c r="E98" s="7"/>
    </row>
    <row r="99" spans="5:5" x14ac:dyDescent="0.35">
      <c r="E99" s="7"/>
    </row>
    <row r="100" spans="5:5" x14ac:dyDescent="0.35">
      <c r="E100" s="7"/>
    </row>
    <row r="101" spans="5:5" x14ac:dyDescent="0.35">
      <c r="E101" s="7"/>
    </row>
    <row r="122" spans="6:6" x14ac:dyDescent="0.35">
      <c r="F122" s="7"/>
    </row>
    <row r="123" spans="6:6" x14ac:dyDescent="0.35">
      <c r="F123" s="7"/>
    </row>
    <row r="124" spans="6:6" x14ac:dyDescent="0.35">
      <c r="F124" s="7"/>
    </row>
    <row r="125" spans="6:6" x14ac:dyDescent="0.35">
      <c r="F125" s="7"/>
    </row>
    <row r="126" spans="6:6" x14ac:dyDescent="0.35">
      <c r="F126" s="7"/>
    </row>
    <row r="127" spans="6:6" x14ac:dyDescent="0.35">
      <c r="F127" s="7"/>
    </row>
    <row r="128" spans="6:6" x14ac:dyDescent="0.35">
      <c r="F128" s="7"/>
    </row>
    <row r="131" spans="5:6" x14ac:dyDescent="0.35">
      <c r="F131" s="7"/>
    </row>
    <row r="132" spans="5:6" x14ac:dyDescent="0.35">
      <c r="F132" s="7"/>
    </row>
    <row r="133" spans="5:6" x14ac:dyDescent="0.35">
      <c r="F133" s="7"/>
    </row>
    <row r="134" spans="5:6" x14ac:dyDescent="0.35">
      <c r="F134" s="7"/>
    </row>
    <row r="135" spans="5:6" x14ac:dyDescent="0.35">
      <c r="F135" s="7"/>
    </row>
    <row r="136" spans="5:6" x14ac:dyDescent="0.35">
      <c r="F136" s="7"/>
    </row>
    <row r="137" spans="5:6" x14ac:dyDescent="0.35">
      <c r="F137" s="7"/>
    </row>
    <row r="141" spans="5:6" x14ac:dyDescent="0.35">
      <c r="E141" s="6"/>
    </row>
    <row r="142" spans="5:6" x14ac:dyDescent="0.35">
      <c r="E142" s="7"/>
    </row>
    <row r="143" spans="5:6" x14ac:dyDescent="0.35">
      <c r="E143" s="7"/>
    </row>
    <row r="144" spans="5:6" x14ac:dyDescent="0.35">
      <c r="E144" s="7"/>
    </row>
    <row r="145" spans="5:5" x14ac:dyDescent="0.35">
      <c r="E145" s="7"/>
    </row>
    <row r="146" spans="5:5" x14ac:dyDescent="0.35">
      <c r="E146" s="7"/>
    </row>
    <row r="147" spans="5:5" x14ac:dyDescent="0.35">
      <c r="E147" s="7"/>
    </row>
    <row r="148" spans="5:5" x14ac:dyDescent="0.35">
      <c r="E148" s="7"/>
    </row>
    <row r="150" spans="5:5" x14ac:dyDescent="0.35">
      <c r="E150" s="6"/>
    </row>
    <row r="151" spans="5:5" x14ac:dyDescent="0.35">
      <c r="E151" s="7"/>
    </row>
    <row r="152" spans="5:5" x14ac:dyDescent="0.35">
      <c r="E152" s="7"/>
    </row>
    <row r="153" spans="5:5" x14ac:dyDescent="0.35">
      <c r="E153" s="7"/>
    </row>
    <row r="154" spans="5:5" x14ac:dyDescent="0.35">
      <c r="E154" s="7"/>
    </row>
    <row r="155" spans="5:5" x14ac:dyDescent="0.35">
      <c r="E155" s="7"/>
    </row>
    <row r="156" spans="5:5" x14ac:dyDescent="0.35">
      <c r="E156" s="7"/>
    </row>
    <row r="157" spans="5:5" x14ac:dyDescent="0.35">
      <c r="E157" s="7"/>
    </row>
  </sheetData>
  <mergeCells count="1">
    <mergeCell ref="H2:I2"/>
  </mergeCells>
  <phoneticPr fontId="0" type="noConversion"/>
  <conditionalFormatting sqref="D32:D38 D52:D55 D59:D62 D16:D28 I49:I55 D5:D13 D42:D48 I11:I19 I23:I36 I40:I45 I59:I62">
    <cfRule type="cellIs" dxfId="649" priority="2" stopIfTrue="1" operator="lessThan">
      <formula>0</formula>
    </cfRule>
  </conditionalFormatting>
  <pageMargins left="0.5" right="0.5" top="0.35" bottom="0.35" header="0.5" footer="0.25"/>
  <pageSetup scale="81" orientation="portrait" r:id="rId1"/>
  <headerFooter alignWithMargins="0"/>
  <drawing r:id="rId2"/>
  <tableParts count="11">
    <tablePart r:id="rId3"/>
    <tablePart r:id="rId4"/>
    <tablePart r:id="rId5"/>
    <tablePart r:id="rId6"/>
    <tablePart r:id="rId7"/>
    <tablePart r:id="rId8"/>
    <tablePart r:id="rId9"/>
    <tablePart r:id="rId10"/>
    <tablePart r:id="rId11"/>
    <tablePart r:id="rId12"/>
    <tablePart r:id="rId1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6D93B-A59A-429F-91D9-9C96192C6267}">
  <sheetPr>
    <pageSetUpPr fitToPage="1"/>
  </sheetPr>
  <dimension ref="A1:O157"/>
  <sheetViews>
    <sheetView showGridLines="0" workbookViewId="0"/>
  </sheetViews>
  <sheetFormatPr defaultColWidth="9" defaultRowHeight="14.4" x14ac:dyDescent="0.35"/>
  <cols>
    <col min="1" max="1" width="22.5" style="1" customWidth="1"/>
    <col min="2" max="4" width="9.59765625" style="1" customWidth="1"/>
    <col min="5" max="5" width="2.59765625" style="1" customWidth="1"/>
    <col min="6" max="6" width="22.5" style="1" customWidth="1"/>
    <col min="7" max="9" width="9.59765625" style="1" customWidth="1"/>
    <col min="10" max="16384" width="9" style="1"/>
  </cols>
  <sheetData>
    <row r="1" spans="1:15" ht="26.1" customHeight="1" x14ac:dyDescent="0.35">
      <c r="A1" s="28" t="s">
        <v>112</v>
      </c>
      <c r="B1" s="28"/>
      <c r="C1" s="28"/>
      <c r="D1" s="28"/>
      <c r="E1" s="28"/>
      <c r="F1" s="28"/>
      <c r="G1" s="28"/>
      <c r="H1" s="28"/>
      <c r="I1" s="28"/>
    </row>
    <row r="2" spans="1:15" s="2" customFormat="1" ht="13.8" x14ac:dyDescent="0.3">
      <c r="A2" s="50"/>
      <c r="B2" s="27"/>
      <c r="C2" s="27"/>
      <c r="D2" s="27"/>
      <c r="E2" s="25"/>
      <c r="F2" s="25"/>
      <c r="G2" s="26"/>
      <c r="H2" s="63"/>
      <c r="I2" s="63"/>
    </row>
    <row r="3" spans="1:15" s="2" customFormat="1" ht="12" x14ac:dyDescent="0.3">
      <c r="E3" s="3"/>
    </row>
    <row r="4" spans="1:15" x14ac:dyDescent="0.35">
      <c r="A4" s="17" t="s">
        <v>3</v>
      </c>
      <c r="B4" s="18" t="s">
        <v>74</v>
      </c>
      <c r="C4" s="19" t="s">
        <v>2</v>
      </c>
      <c r="D4" s="19" t="s">
        <v>70</v>
      </c>
      <c r="E4" s="15" t="s">
        <v>73</v>
      </c>
      <c r="F4" s="21" t="s">
        <v>76</v>
      </c>
      <c r="G4" s="22" t="s">
        <v>74</v>
      </c>
      <c r="H4" s="22" t="s">
        <v>2</v>
      </c>
      <c r="I4" s="22" t="s">
        <v>70</v>
      </c>
    </row>
    <row r="5" spans="1:15" ht="15" x14ac:dyDescent="0.35">
      <c r="A5" s="4" t="s">
        <v>13</v>
      </c>
      <c r="B5" s="53">
        <v>0</v>
      </c>
      <c r="C5" s="53">
        <v>0</v>
      </c>
      <c r="D5" s="9">
        <f t="shared" ref="D5:D11" si="0">C5-B5</f>
        <v>0</v>
      </c>
      <c r="E5" s="8"/>
      <c r="F5" s="23" t="s">
        <v>4</v>
      </c>
      <c r="G5" s="61">
        <f>Table224[[#Totals],[Budget]]</f>
        <v>0</v>
      </c>
      <c r="H5" s="61">
        <f>Table224[[#Totals],[Actual]]</f>
        <v>0</v>
      </c>
      <c r="I5" s="61">
        <f>G5-H5</f>
        <v>0</v>
      </c>
      <c r="L5"/>
    </row>
    <row r="6" spans="1:15" ht="15.6" thickBot="1" x14ac:dyDescent="0.4">
      <c r="A6" s="4" t="s">
        <v>7</v>
      </c>
      <c r="B6" s="53"/>
      <c r="C6" s="53"/>
      <c r="D6" s="9">
        <f t="shared" si="0"/>
        <v>0</v>
      </c>
      <c r="E6" s="8"/>
      <c r="F6" s="23" t="s">
        <v>5</v>
      </c>
      <c r="G6" s="61">
        <f>SUM(,Table525[[#Totals],[Budget]],Table2033[[#Totals],[Budget]],Table2134[[#Totals],[Budget]],Table1932[[#Totals],[Budget]],Table1531[[#Totals],[Budget]],Table1430[[#Totals],[Budget]],Table1029[[#Totals],[Budget]],Table828[[#Totals],[Budget]],Table727[[#Totals],[Budget]],Table626[[#Totals],[Budget]])</f>
        <v>0</v>
      </c>
      <c r="H6" s="61">
        <f>SUM(Table525[[#Totals],[Actual]],Table2033[[#Totals],[Actual]],Table2134[[#Totals],[Actual]],Table1932[[#Totals],[Actual]],Table1531[[#Totals],[Actual]],Table1430[[#Totals],[Actual]],Table1029[[#Totals],[Actual]],Table828[[#Totals],[Actual]],Table727[[#Totals],[Actual]],Table626[[#Totals],[Actual]])</f>
        <v>0</v>
      </c>
      <c r="I6" s="61">
        <f>G6-H6</f>
        <v>0</v>
      </c>
      <c r="L6"/>
    </row>
    <row r="7" spans="1:15" ht="15" thickTop="1" x14ac:dyDescent="0.35">
      <c r="A7" s="4" t="s">
        <v>8</v>
      </c>
      <c r="B7" s="53"/>
      <c r="C7" s="53"/>
      <c r="D7" s="9">
        <f t="shared" si="0"/>
        <v>0</v>
      </c>
      <c r="E7" s="8"/>
      <c r="F7" s="24" t="s">
        <v>6</v>
      </c>
      <c r="G7" s="62">
        <f>G5-G6</f>
        <v>0</v>
      </c>
      <c r="H7" s="62">
        <f>H5-H6</f>
        <v>0</v>
      </c>
      <c r="I7" s="62">
        <f>H7-G7</f>
        <v>0</v>
      </c>
    </row>
    <row r="8" spans="1:15" s="2" customFormat="1" x14ac:dyDescent="0.35">
      <c r="A8" s="4" t="s">
        <v>12</v>
      </c>
      <c r="B8" s="53"/>
      <c r="C8" s="53"/>
      <c r="D8" s="9">
        <f t="shared" si="0"/>
        <v>0</v>
      </c>
      <c r="E8" s="10"/>
      <c r="F8" s="10"/>
      <c r="G8" s="10"/>
      <c r="H8" s="10"/>
      <c r="I8" s="10"/>
    </row>
    <row r="9" spans="1:15" x14ac:dyDescent="0.35">
      <c r="A9" s="4" t="s">
        <v>75</v>
      </c>
      <c r="B9" s="53"/>
      <c r="C9" s="53"/>
      <c r="D9" s="9">
        <f t="shared" si="0"/>
        <v>0</v>
      </c>
      <c r="E9" s="8"/>
      <c r="F9" s="10"/>
      <c r="G9" s="10"/>
      <c r="H9" s="10"/>
      <c r="I9" s="10"/>
    </row>
    <row r="10" spans="1:15" x14ac:dyDescent="0.35">
      <c r="A10" s="4" t="s">
        <v>71</v>
      </c>
      <c r="B10" s="53"/>
      <c r="C10" s="53"/>
      <c r="D10" s="9">
        <f t="shared" si="0"/>
        <v>0</v>
      </c>
      <c r="E10" s="8"/>
      <c r="F10" s="17" t="s">
        <v>38</v>
      </c>
      <c r="G10" s="18" t="s">
        <v>74</v>
      </c>
      <c r="H10" s="19" t="s">
        <v>2</v>
      </c>
      <c r="I10" s="19" t="s">
        <v>70</v>
      </c>
    </row>
    <row r="11" spans="1:15" x14ac:dyDescent="0.35">
      <c r="A11" s="4" t="s">
        <v>18</v>
      </c>
      <c r="B11" s="53"/>
      <c r="C11" s="53"/>
      <c r="D11" s="9">
        <f t="shared" si="0"/>
        <v>0</v>
      </c>
      <c r="E11" s="8"/>
      <c r="F11" s="4" t="s">
        <v>10</v>
      </c>
      <c r="G11" s="57"/>
      <c r="H11" s="57"/>
      <c r="I11" s="56">
        <f t="shared" ref="I11:I19" si="1">G11-H11</f>
        <v>0</v>
      </c>
    </row>
    <row r="12" spans="1:15" x14ac:dyDescent="0.35">
      <c r="A12" s="4" t="s">
        <v>18</v>
      </c>
      <c r="B12" s="54"/>
      <c r="C12" s="54"/>
      <c r="D12" s="9">
        <f>C12-B12</f>
        <v>0</v>
      </c>
      <c r="E12" s="8"/>
      <c r="F12" s="4" t="s">
        <v>39</v>
      </c>
      <c r="G12" s="57"/>
      <c r="H12" s="57"/>
      <c r="I12" s="56">
        <f t="shared" si="1"/>
        <v>0</v>
      </c>
    </row>
    <row r="13" spans="1:15" x14ac:dyDescent="0.35">
      <c r="A13" s="20" t="str">
        <f>"Total " &amp; Table224[[#Headers],[INCOME]]</f>
        <v>Total INCOME</v>
      </c>
      <c r="B13" s="55">
        <f>SUBTOTAL(9,Table224[Budget])</f>
        <v>0</v>
      </c>
      <c r="C13" s="55">
        <f>SUBTOTAL(9,Table224[Actual])</f>
        <v>0</v>
      </c>
      <c r="D13" s="11">
        <f>SUBTOTAL(9,Table224[Difference])</f>
        <v>0</v>
      </c>
      <c r="E13" s="8"/>
      <c r="F13" s="4" t="s">
        <v>9</v>
      </c>
      <c r="G13" s="57"/>
      <c r="H13" s="57"/>
      <c r="I13" s="56">
        <f t="shared" si="1"/>
        <v>0</v>
      </c>
    </row>
    <row r="14" spans="1:15" x14ac:dyDescent="0.35">
      <c r="A14" s="8"/>
      <c r="B14" s="8"/>
      <c r="C14" s="8"/>
      <c r="D14" s="8"/>
      <c r="E14" s="8"/>
      <c r="F14" s="4" t="s">
        <v>105</v>
      </c>
      <c r="G14" s="57"/>
      <c r="H14" s="57"/>
      <c r="I14" s="56">
        <f t="shared" si="1"/>
        <v>0</v>
      </c>
    </row>
    <row r="15" spans="1:15" x14ac:dyDescent="0.35">
      <c r="A15" s="17" t="s">
        <v>15</v>
      </c>
      <c r="B15" s="18" t="s">
        <v>74</v>
      </c>
      <c r="C15" s="19" t="s">
        <v>2</v>
      </c>
      <c r="D15" s="19" t="s">
        <v>70</v>
      </c>
      <c r="E15" s="8"/>
      <c r="F15" s="4" t="s">
        <v>106</v>
      </c>
      <c r="G15" s="57"/>
      <c r="H15" s="57"/>
      <c r="I15" s="56">
        <f t="shared" si="1"/>
        <v>0</v>
      </c>
    </row>
    <row r="16" spans="1:15" ht="15" x14ac:dyDescent="0.35">
      <c r="A16" s="4" t="s">
        <v>60</v>
      </c>
      <c r="B16" s="53"/>
      <c r="C16" s="53"/>
      <c r="D16" s="56"/>
      <c r="E16" s="8"/>
      <c r="F16" s="4" t="s">
        <v>61</v>
      </c>
      <c r="G16" s="57"/>
      <c r="H16" s="57"/>
      <c r="I16" s="56">
        <f t="shared" si="1"/>
        <v>0</v>
      </c>
      <c r="O16"/>
    </row>
    <row r="17" spans="1:9" x14ac:dyDescent="0.35">
      <c r="A17" s="4" t="s">
        <v>98</v>
      </c>
      <c r="B17" s="53"/>
      <c r="C17" s="53"/>
      <c r="D17" s="56"/>
      <c r="E17" s="8"/>
      <c r="F17" s="4" t="s">
        <v>62</v>
      </c>
      <c r="G17" s="57"/>
      <c r="H17" s="57"/>
      <c r="I17" s="56">
        <f t="shared" si="1"/>
        <v>0</v>
      </c>
    </row>
    <row r="18" spans="1:9" x14ac:dyDescent="0.35">
      <c r="A18" s="4" t="s">
        <v>16</v>
      </c>
      <c r="B18" s="53"/>
      <c r="C18" s="53"/>
      <c r="D18" s="56"/>
      <c r="E18" s="8"/>
      <c r="F18" s="4" t="s">
        <v>107</v>
      </c>
      <c r="G18" s="57"/>
      <c r="H18" s="57"/>
      <c r="I18" s="56">
        <f t="shared" si="1"/>
        <v>0</v>
      </c>
    </row>
    <row r="19" spans="1:9" x14ac:dyDescent="0.35">
      <c r="A19" s="4" t="s">
        <v>59</v>
      </c>
      <c r="B19" s="53"/>
      <c r="C19" s="53"/>
      <c r="D19" s="56"/>
      <c r="E19" s="8"/>
      <c r="F19" s="4" t="s">
        <v>18</v>
      </c>
      <c r="G19" s="57"/>
      <c r="H19" s="57"/>
      <c r="I19" s="56">
        <f t="shared" si="1"/>
        <v>0</v>
      </c>
    </row>
    <row r="20" spans="1:9" s="5" customFormat="1" x14ac:dyDescent="0.35">
      <c r="A20" s="4" t="s">
        <v>58</v>
      </c>
      <c r="B20" s="53"/>
      <c r="C20" s="53"/>
      <c r="D20" s="56"/>
      <c r="E20" s="8"/>
      <c r="F20" s="20" t="str">
        <f>"Total " &amp; Table626[[#Headers],[DAILY LIVING]]</f>
        <v>Total DAILY LIVING</v>
      </c>
      <c r="G20" s="55">
        <f>SUBTOTAL(9,Table626[Budget])</f>
        <v>0</v>
      </c>
      <c r="H20" s="55">
        <f>SUBTOTAL(9,Table626[Actual])</f>
        <v>0</v>
      </c>
      <c r="I20" s="58">
        <f>SUBTOTAL(9,Table626[Difference])</f>
        <v>0</v>
      </c>
    </row>
    <row r="21" spans="1:9" x14ac:dyDescent="0.35">
      <c r="A21" s="4" t="s">
        <v>20</v>
      </c>
      <c r="B21" s="53"/>
      <c r="C21" s="53"/>
      <c r="D21" s="56"/>
      <c r="E21" s="8"/>
      <c r="F21" s="8"/>
      <c r="G21" s="14"/>
      <c r="H21" s="14"/>
      <c r="I21" s="14"/>
    </row>
    <row r="22" spans="1:9" x14ac:dyDescent="0.35">
      <c r="A22" s="4" t="s">
        <v>57</v>
      </c>
      <c r="B22" s="53"/>
      <c r="C22" s="53"/>
      <c r="D22" s="56"/>
      <c r="E22" s="8"/>
      <c r="F22" s="17" t="s">
        <v>29</v>
      </c>
      <c r="G22" s="18" t="s">
        <v>74</v>
      </c>
      <c r="H22" s="19" t="s">
        <v>2</v>
      </c>
      <c r="I22" s="19" t="s">
        <v>70</v>
      </c>
    </row>
    <row r="23" spans="1:9" x14ac:dyDescent="0.35">
      <c r="A23" s="4" t="s">
        <v>17</v>
      </c>
      <c r="B23" s="53"/>
      <c r="C23" s="53"/>
      <c r="D23" s="56"/>
      <c r="E23" s="8"/>
      <c r="F23" s="4" t="s">
        <v>64</v>
      </c>
      <c r="G23" s="57"/>
      <c r="H23" s="57"/>
      <c r="I23" s="56">
        <f t="shared" ref="I23:I36" si="2">G23-H23</f>
        <v>0</v>
      </c>
    </row>
    <row r="24" spans="1:9" x14ac:dyDescent="0.35">
      <c r="A24" s="4" t="s">
        <v>56</v>
      </c>
      <c r="B24" s="53"/>
      <c r="C24" s="53"/>
      <c r="D24" s="56"/>
      <c r="E24" s="8"/>
      <c r="F24" s="4" t="s">
        <v>0</v>
      </c>
      <c r="G24" s="57"/>
      <c r="H24" s="57"/>
      <c r="I24" s="56">
        <f t="shared" si="2"/>
        <v>0</v>
      </c>
    </row>
    <row r="25" spans="1:9" x14ac:dyDescent="0.35">
      <c r="A25" s="4" t="s">
        <v>55</v>
      </c>
      <c r="B25" s="53"/>
      <c r="C25" s="53"/>
      <c r="D25" s="56"/>
      <c r="E25" s="8"/>
      <c r="F25" s="4" t="s">
        <v>67</v>
      </c>
      <c r="G25" s="57"/>
      <c r="H25" s="57"/>
      <c r="I25" s="56">
        <f t="shared" si="2"/>
        <v>0</v>
      </c>
    </row>
    <row r="26" spans="1:9" x14ac:dyDescent="0.35">
      <c r="A26" s="4" t="s">
        <v>99</v>
      </c>
      <c r="B26" s="53"/>
      <c r="C26" s="53"/>
      <c r="D26" s="56"/>
      <c r="E26" s="8"/>
      <c r="F26" s="4" t="s">
        <v>33</v>
      </c>
      <c r="G26" s="57"/>
      <c r="H26" s="57"/>
      <c r="I26" s="56">
        <f t="shared" si="2"/>
        <v>0</v>
      </c>
    </row>
    <row r="27" spans="1:9" x14ac:dyDescent="0.35">
      <c r="A27" s="4" t="s">
        <v>19</v>
      </c>
      <c r="B27" s="53"/>
      <c r="C27" s="53"/>
      <c r="D27" s="56"/>
      <c r="E27" s="8"/>
      <c r="F27" s="4" t="s">
        <v>63</v>
      </c>
      <c r="G27" s="57"/>
      <c r="H27" s="57"/>
      <c r="I27" s="56">
        <f t="shared" si="2"/>
        <v>0</v>
      </c>
    </row>
    <row r="28" spans="1:9" x14ac:dyDescent="0.35">
      <c r="A28" s="4" t="s">
        <v>18</v>
      </c>
      <c r="B28" s="57"/>
      <c r="C28" s="57"/>
      <c r="D28" s="56"/>
      <c r="E28" s="8"/>
      <c r="F28" s="4" t="s">
        <v>65</v>
      </c>
      <c r="G28" s="57"/>
      <c r="H28" s="57"/>
      <c r="I28" s="56">
        <f t="shared" si="2"/>
        <v>0</v>
      </c>
    </row>
    <row r="29" spans="1:9" x14ac:dyDescent="0.35">
      <c r="A29" s="20" t="str">
        <f>"Total " &amp; Table525[[#Headers],[HOME EXPENSES]]</f>
        <v>Total HOME EXPENSES</v>
      </c>
      <c r="B29" s="55" t="s">
        <v>113</v>
      </c>
      <c r="C29" s="55" t="s">
        <v>113</v>
      </c>
      <c r="D29" s="58"/>
      <c r="E29" s="8"/>
      <c r="F29" s="4" t="s">
        <v>30</v>
      </c>
      <c r="G29" s="57"/>
      <c r="H29" s="57"/>
      <c r="I29" s="56">
        <f t="shared" si="2"/>
        <v>0</v>
      </c>
    </row>
    <row r="30" spans="1:9" x14ac:dyDescent="0.35">
      <c r="A30" s="8"/>
      <c r="B30" s="14"/>
      <c r="C30" s="14"/>
      <c r="D30" s="14"/>
      <c r="E30" s="8"/>
      <c r="F30" s="4" t="s">
        <v>35</v>
      </c>
      <c r="G30" s="57"/>
      <c r="H30" s="57"/>
      <c r="I30" s="56">
        <f t="shared" si="2"/>
        <v>0</v>
      </c>
    </row>
    <row r="31" spans="1:9" x14ac:dyDescent="0.35">
      <c r="A31" s="17" t="s">
        <v>21</v>
      </c>
      <c r="B31" s="18" t="s">
        <v>74</v>
      </c>
      <c r="C31" s="19" t="s">
        <v>2</v>
      </c>
      <c r="D31" s="19" t="s">
        <v>70</v>
      </c>
      <c r="E31" s="8"/>
      <c r="F31" s="4" t="s">
        <v>66</v>
      </c>
      <c r="G31" s="57"/>
      <c r="H31" s="57"/>
      <c r="I31" s="56">
        <f t="shared" si="2"/>
        <v>0</v>
      </c>
    </row>
    <row r="32" spans="1:9" x14ac:dyDescent="0.35">
      <c r="A32" s="4" t="s">
        <v>22</v>
      </c>
      <c r="B32" s="57"/>
      <c r="C32" s="57"/>
      <c r="D32" s="56">
        <f>B32-C32</f>
        <v>0</v>
      </c>
      <c r="E32" s="8"/>
      <c r="F32" s="4" t="s">
        <v>36</v>
      </c>
      <c r="G32" s="57"/>
      <c r="H32" s="57"/>
      <c r="I32" s="56">
        <f t="shared" si="2"/>
        <v>0</v>
      </c>
    </row>
    <row r="33" spans="1:9" x14ac:dyDescent="0.35">
      <c r="A33" s="4" t="s">
        <v>100</v>
      </c>
      <c r="B33" s="57"/>
      <c r="C33" s="57"/>
      <c r="D33" s="56">
        <f t="shared" ref="D33:D38" si="3">B33-C33</f>
        <v>0</v>
      </c>
      <c r="E33" s="8"/>
      <c r="F33" s="4" t="s">
        <v>34</v>
      </c>
      <c r="G33" s="57"/>
      <c r="H33" s="57"/>
      <c r="I33" s="56">
        <f t="shared" si="2"/>
        <v>0</v>
      </c>
    </row>
    <row r="34" spans="1:9" x14ac:dyDescent="0.35">
      <c r="A34" s="4" t="s">
        <v>23</v>
      </c>
      <c r="B34" s="57"/>
      <c r="C34" s="57"/>
      <c r="D34" s="56">
        <f>B34-C34</f>
        <v>0</v>
      </c>
      <c r="E34" s="8"/>
      <c r="F34" s="4" t="s">
        <v>68</v>
      </c>
      <c r="G34" s="57"/>
      <c r="H34" s="57"/>
      <c r="I34" s="56">
        <f t="shared" si="2"/>
        <v>0</v>
      </c>
    </row>
    <row r="35" spans="1:9" x14ac:dyDescent="0.35">
      <c r="A35" s="4" t="s">
        <v>53</v>
      </c>
      <c r="B35" s="57"/>
      <c r="C35" s="57"/>
      <c r="D35" s="56">
        <f t="shared" si="3"/>
        <v>0</v>
      </c>
      <c r="E35" s="8"/>
      <c r="F35" s="4" t="s">
        <v>108</v>
      </c>
      <c r="G35" s="57"/>
      <c r="H35" s="57"/>
      <c r="I35" s="56">
        <f t="shared" si="2"/>
        <v>0</v>
      </c>
    </row>
    <row r="36" spans="1:9" x14ac:dyDescent="0.35">
      <c r="A36" s="4" t="s">
        <v>24</v>
      </c>
      <c r="B36" s="57"/>
      <c r="C36" s="57"/>
      <c r="D36" s="56">
        <f t="shared" si="3"/>
        <v>0</v>
      </c>
      <c r="E36" s="8"/>
      <c r="F36" s="4" t="s">
        <v>18</v>
      </c>
      <c r="G36" s="57"/>
      <c r="H36" s="57"/>
      <c r="I36" s="56">
        <f t="shared" si="2"/>
        <v>0</v>
      </c>
    </row>
    <row r="37" spans="1:9" x14ac:dyDescent="0.35">
      <c r="A37" s="4" t="s">
        <v>54</v>
      </c>
      <c r="B37" s="57"/>
      <c r="C37" s="57"/>
      <c r="D37" s="56">
        <f t="shared" si="3"/>
        <v>0</v>
      </c>
      <c r="E37" s="8"/>
      <c r="F37" s="20" t="str">
        <f>"Total " &amp; Table727[[#Headers],[ENTERTAINMENT]]</f>
        <v>Total ENTERTAINMENT</v>
      </c>
      <c r="G37" s="55">
        <f>SUBTOTAL(9,Table727[Budget])</f>
        <v>0</v>
      </c>
      <c r="H37" s="55">
        <f>SUBTOTAL(9,Table727[Actual])</f>
        <v>0</v>
      </c>
      <c r="I37" s="58">
        <f>SUBTOTAL(9,Table727[Difference])</f>
        <v>0</v>
      </c>
    </row>
    <row r="38" spans="1:9" x14ac:dyDescent="0.35">
      <c r="A38" s="4" t="s">
        <v>18</v>
      </c>
      <c r="B38" s="57"/>
      <c r="C38" s="57"/>
      <c r="D38" s="56">
        <f t="shared" si="3"/>
        <v>0</v>
      </c>
      <c r="E38" s="8"/>
      <c r="F38" s="8"/>
      <c r="G38" s="14"/>
      <c r="H38" s="14"/>
      <c r="I38" s="14"/>
    </row>
    <row r="39" spans="1:9" x14ac:dyDescent="0.35">
      <c r="A39" s="20" t="str">
        <f>"Total " &amp; Table2033[[#Headers],[TRANSPORTATION]]</f>
        <v>Total TRANSPORTATION</v>
      </c>
      <c r="B39" s="55">
        <f>SUBTOTAL(9,Table2033[Budget])</f>
        <v>0</v>
      </c>
      <c r="C39" s="55">
        <f>SUBTOTAL(9,Table2033[Actual])</f>
        <v>0</v>
      </c>
      <c r="D39" s="58">
        <f>SUBTOTAL(9,Table2033[Difference])</f>
        <v>0</v>
      </c>
      <c r="E39" s="8"/>
      <c r="F39" s="17" t="s">
        <v>46</v>
      </c>
      <c r="G39" s="18" t="s">
        <v>74</v>
      </c>
      <c r="H39" s="19" t="s">
        <v>2</v>
      </c>
      <c r="I39" s="19" t="s">
        <v>70</v>
      </c>
    </row>
    <row r="40" spans="1:9" x14ac:dyDescent="0.35">
      <c r="A40" s="8"/>
      <c r="B40" s="14"/>
      <c r="C40" s="14"/>
      <c r="D40" s="14"/>
      <c r="E40" s="8"/>
      <c r="F40" s="4" t="s">
        <v>43</v>
      </c>
      <c r="G40" s="57"/>
      <c r="H40" s="57"/>
      <c r="I40" s="56">
        <f>G40-H40</f>
        <v>0</v>
      </c>
    </row>
    <row r="41" spans="1:9" x14ac:dyDescent="0.35">
      <c r="A41" s="17" t="s">
        <v>25</v>
      </c>
      <c r="B41" s="18" t="s">
        <v>74</v>
      </c>
      <c r="C41" s="19" t="s">
        <v>2</v>
      </c>
      <c r="D41" s="19" t="s">
        <v>70</v>
      </c>
      <c r="E41" s="8"/>
      <c r="F41" s="4" t="s">
        <v>44</v>
      </c>
      <c r="G41" s="57"/>
      <c r="H41" s="57"/>
      <c r="I41" s="56">
        <f t="shared" ref="I41:I42" si="4">G41-H41</f>
        <v>0</v>
      </c>
    </row>
    <row r="42" spans="1:9" x14ac:dyDescent="0.35">
      <c r="A42" s="4" t="s">
        <v>101</v>
      </c>
      <c r="B42" s="57"/>
      <c r="C42" s="57"/>
      <c r="D42" s="56">
        <f t="shared" ref="D42:D48" si="5">B42-C42</f>
        <v>0</v>
      </c>
      <c r="E42" s="8"/>
      <c r="F42" s="4" t="s">
        <v>47</v>
      </c>
      <c r="G42" s="57"/>
      <c r="H42" s="57"/>
      <c r="I42" s="56">
        <f t="shared" si="4"/>
        <v>0</v>
      </c>
    </row>
    <row r="43" spans="1:9" x14ac:dyDescent="0.35">
      <c r="A43" s="4" t="s">
        <v>26</v>
      </c>
      <c r="B43" s="57"/>
      <c r="C43" s="57"/>
      <c r="D43" s="56">
        <f t="shared" si="5"/>
        <v>0</v>
      </c>
      <c r="E43" s="8"/>
      <c r="F43" s="4" t="s">
        <v>45</v>
      </c>
      <c r="G43" s="57"/>
      <c r="H43" s="57"/>
      <c r="I43" s="56">
        <f>G43-H43</f>
        <v>0</v>
      </c>
    </row>
    <row r="44" spans="1:9" x14ac:dyDescent="0.35">
      <c r="A44" s="4" t="s">
        <v>27</v>
      </c>
      <c r="B44" s="57"/>
      <c r="C44" s="57"/>
      <c r="D44" s="56">
        <f t="shared" si="5"/>
        <v>0</v>
      </c>
      <c r="E44" s="8"/>
      <c r="F44" s="4" t="s">
        <v>109</v>
      </c>
      <c r="G44" s="57"/>
      <c r="H44" s="57"/>
      <c r="I44" s="56">
        <f>G44-H44</f>
        <v>0</v>
      </c>
    </row>
    <row r="45" spans="1:9" x14ac:dyDescent="0.35">
      <c r="A45" s="4" t="s">
        <v>28</v>
      </c>
      <c r="B45" s="57"/>
      <c r="C45" s="57"/>
      <c r="D45" s="56">
        <f t="shared" si="5"/>
        <v>0</v>
      </c>
      <c r="E45" s="8"/>
      <c r="F45" s="4" t="s">
        <v>18</v>
      </c>
      <c r="G45" s="57"/>
      <c r="H45" s="57"/>
      <c r="I45" s="56">
        <f>G45-H45</f>
        <v>0</v>
      </c>
    </row>
    <row r="46" spans="1:9" x14ac:dyDescent="0.35">
      <c r="A46" s="4" t="s">
        <v>102</v>
      </c>
      <c r="B46" s="57"/>
      <c r="C46" s="57"/>
      <c r="D46" s="56">
        <f t="shared" si="5"/>
        <v>0</v>
      </c>
      <c r="E46" s="8"/>
      <c r="F46" s="20" t="str">
        <f>"Total " &amp; Table828[[#Headers],[SAVINGS]]</f>
        <v>Total SAVINGS</v>
      </c>
      <c r="G46" s="55">
        <f>SUBTOTAL(9,Table828[Budget])</f>
        <v>0</v>
      </c>
      <c r="H46" s="55">
        <f>SUBTOTAL(9,Table828[Actual])</f>
        <v>0</v>
      </c>
      <c r="I46" s="58">
        <f>SUBTOTAL(9,Table828[Difference])</f>
        <v>0</v>
      </c>
    </row>
    <row r="47" spans="1:9" x14ac:dyDescent="0.35">
      <c r="A47" s="4" t="s">
        <v>103</v>
      </c>
      <c r="B47" s="57"/>
      <c r="C47" s="57"/>
      <c r="D47" s="56">
        <f t="shared" si="5"/>
        <v>0</v>
      </c>
      <c r="E47" s="8"/>
      <c r="F47" s="8"/>
      <c r="G47" s="14"/>
      <c r="H47" s="14"/>
      <c r="I47" s="14"/>
    </row>
    <row r="48" spans="1:9" x14ac:dyDescent="0.35">
      <c r="A48" s="4" t="s">
        <v>18</v>
      </c>
      <c r="B48" s="57"/>
      <c r="C48" s="57"/>
      <c r="D48" s="56">
        <f t="shared" si="5"/>
        <v>0</v>
      </c>
      <c r="E48" s="8"/>
      <c r="F48" s="17" t="s">
        <v>48</v>
      </c>
      <c r="G48" s="18" t="s">
        <v>74</v>
      </c>
      <c r="H48" s="19" t="s">
        <v>2</v>
      </c>
      <c r="I48" s="19" t="s">
        <v>70</v>
      </c>
    </row>
    <row r="49" spans="1:9" x14ac:dyDescent="0.35">
      <c r="A49" s="20" t="str">
        <f>"Total " &amp; Table2134[[#Headers],[HEALTH]]</f>
        <v>Total HEALTH</v>
      </c>
      <c r="B49" s="55">
        <f>SUBTOTAL(9,Table2134[Budget])</f>
        <v>0</v>
      </c>
      <c r="C49" s="55">
        <f>SUBTOTAL(9,Table2134[Actual])</f>
        <v>0</v>
      </c>
      <c r="D49" s="58">
        <f>SUBTOTAL(9,Table2134[Difference])</f>
        <v>0</v>
      </c>
      <c r="E49" s="8"/>
      <c r="F49" s="4" t="s">
        <v>49</v>
      </c>
      <c r="G49" s="57"/>
      <c r="H49" s="57"/>
      <c r="I49" s="56">
        <f t="shared" ref="I49:I55" si="6">G49-H49</f>
        <v>0</v>
      </c>
    </row>
    <row r="50" spans="1:9" x14ac:dyDescent="0.35">
      <c r="A50" s="8"/>
      <c r="B50" s="14"/>
      <c r="C50" s="14"/>
      <c r="D50" s="14"/>
      <c r="E50" s="8"/>
      <c r="F50" s="4" t="s">
        <v>50</v>
      </c>
      <c r="G50" s="57"/>
      <c r="H50" s="57"/>
      <c r="I50" s="56">
        <f t="shared" si="6"/>
        <v>0</v>
      </c>
    </row>
    <row r="51" spans="1:9" x14ac:dyDescent="0.35">
      <c r="A51" s="17" t="s">
        <v>69</v>
      </c>
      <c r="B51" s="18" t="s">
        <v>74</v>
      </c>
      <c r="C51" s="19" t="s">
        <v>2</v>
      </c>
      <c r="D51" s="19" t="s">
        <v>70</v>
      </c>
      <c r="E51" s="8"/>
      <c r="F51" s="4" t="s">
        <v>110</v>
      </c>
      <c r="G51" s="57"/>
      <c r="H51" s="57"/>
      <c r="I51" s="56">
        <f t="shared" si="6"/>
        <v>0</v>
      </c>
    </row>
    <row r="52" spans="1:9" x14ac:dyDescent="0.35">
      <c r="A52" s="4" t="s">
        <v>11</v>
      </c>
      <c r="B52" s="57"/>
      <c r="C52" s="57"/>
      <c r="D52" s="59">
        <f t="shared" ref="D52:D55" si="7">B52-C52</f>
        <v>0</v>
      </c>
      <c r="E52" s="8"/>
      <c r="F52" s="4" t="s">
        <v>72</v>
      </c>
      <c r="G52" s="57"/>
      <c r="H52" s="57"/>
      <c r="I52" s="56">
        <f t="shared" si="6"/>
        <v>0</v>
      </c>
    </row>
    <row r="53" spans="1:9" x14ac:dyDescent="0.35">
      <c r="A53" s="4" t="s">
        <v>40</v>
      </c>
      <c r="B53" s="57"/>
      <c r="C53" s="57"/>
      <c r="D53" s="59">
        <f t="shared" si="7"/>
        <v>0</v>
      </c>
      <c r="E53" s="8"/>
      <c r="F53" s="4" t="s">
        <v>51</v>
      </c>
      <c r="G53" s="57"/>
      <c r="H53" s="57"/>
      <c r="I53" s="56">
        <f t="shared" si="6"/>
        <v>0</v>
      </c>
    </row>
    <row r="54" spans="1:9" x14ac:dyDescent="0.35">
      <c r="A54" s="4" t="s">
        <v>41</v>
      </c>
      <c r="B54" s="57"/>
      <c r="C54" s="57"/>
      <c r="D54" s="59">
        <f t="shared" si="7"/>
        <v>0</v>
      </c>
      <c r="E54" s="8"/>
      <c r="F54" s="4" t="s">
        <v>52</v>
      </c>
      <c r="G54" s="57"/>
      <c r="H54" s="57"/>
      <c r="I54" s="56">
        <f t="shared" si="6"/>
        <v>0</v>
      </c>
    </row>
    <row r="55" spans="1:9" x14ac:dyDescent="0.35">
      <c r="A55" s="4" t="s">
        <v>18</v>
      </c>
      <c r="B55" s="57"/>
      <c r="C55" s="57"/>
      <c r="D55" s="59">
        <f t="shared" si="7"/>
        <v>0</v>
      </c>
      <c r="E55" s="8"/>
      <c r="F55" s="4" t="s">
        <v>18</v>
      </c>
      <c r="G55" s="57"/>
      <c r="H55" s="57"/>
      <c r="I55" s="56">
        <f t="shared" si="6"/>
        <v>0</v>
      </c>
    </row>
    <row r="56" spans="1:9" x14ac:dyDescent="0.35">
      <c r="A56" s="20" t="str">
        <f>"Total " &amp; Table1932[[#Headers],[CHARITY/GIFTS]]</f>
        <v>Total CHARITY/GIFTS</v>
      </c>
      <c r="B56" s="55">
        <f>SUBTOTAL(9,Table1932[Budget])</f>
        <v>0</v>
      </c>
      <c r="C56" s="55">
        <f>SUBTOTAL(9,Table1932[Actual])</f>
        <v>0</v>
      </c>
      <c r="D56" s="60">
        <f>SUBTOTAL(9,Table1932[Difference])</f>
        <v>0</v>
      </c>
      <c r="E56" s="8"/>
      <c r="F56" s="20" t="str">
        <f>"Total " &amp; Table1029[[#Headers],[OBLIGATIONS]]</f>
        <v>Total OBLIGATIONS</v>
      </c>
      <c r="G56" s="55">
        <f>SUBTOTAL(9,Table1029[Budget])</f>
        <v>0</v>
      </c>
      <c r="H56" s="55">
        <f>SUBTOTAL(9,Table1029[Actual])</f>
        <v>0</v>
      </c>
      <c r="I56" s="58">
        <f>SUBTOTAL(9,Table1029[Difference])</f>
        <v>0</v>
      </c>
    </row>
    <row r="57" spans="1:9" x14ac:dyDescent="0.35">
      <c r="A57" s="8"/>
      <c r="B57" s="14"/>
      <c r="C57" s="14"/>
      <c r="D57" s="14"/>
      <c r="E57" s="8"/>
      <c r="F57" s="8"/>
      <c r="G57" s="14"/>
      <c r="H57" s="14"/>
      <c r="I57" s="14"/>
    </row>
    <row r="58" spans="1:9" x14ac:dyDescent="0.35">
      <c r="A58" s="17" t="s">
        <v>37</v>
      </c>
      <c r="B58" s="18" t="s">
        <v>74</v>
      </c>
      <c r="C58" s="19" t="s">
        <v>2</v>
      </c>
      <c r="D58" s="19" t="s">
        <v>70</v>
      </c>
      <c r="E58" s="8"/>
      <c r="F58" s="17" t="s">
        <v>14</v>
      </c>
      <c r="G58" s="18" t="s">
        <v>74</v>
      </c>
      <c r="H58" s="19" t="s">
        <v>2</v>
      </c>
      <c r="I58" s="19" t="s">
        <v>70</v>
      </c>
    </row>
    <row r="59" spans="1:9" x14ac:dyDescent="0.35">
      <c r="A59" s="4" t="s">
        <v>31</v>
      </c>
      <c r="B59" s="57"/>
      <c r="C59" s="57"/>
      <c r="D59" s="56">
        <f t="shared" ref="D59:D62" si="8">B59-C59</f>
        <v>0</v>
      </c>
      <c r="E59" s="8"/>
      <c r="F59" s="4" t="s">
        <v>42</v>
      </c>
      <c r="G59" s="53"/>
      <c r="H59" s="53"/>
      <c r="I59" s="56">
        <f t="shared" ref="I59:I62" si="9">G59-H59</f>
        <v>0</v>
      </c>
    </row>
    <row r="60" spans="1:9" x14ac:dyDescent="0.35">
      <c r="A60" s="4" t="s">
        <v>32</v>
      </c>
      <c r="B60" s="57"/>
      <c r="C60" s="57"/>
      <c r="D60" s="56">
        <f t="shared" si="8"/>
        <v>0</v>
      </c>
      <c r="E60" s="8"/>
      <c r="F60" s="4" t="s">
        <v>1</v>
      </c>
      <c r="G60" s="53"/>
      <c r="H60" s="53"/>
      <c r="I60" s="56">
        <f t="shared" si="9"/>
        <v>0</v>
      </c>
    </row>
    <row r="61" spans="1:9" x14ac:dyDescent="0.35">
      <c r="A61" s="4" t="s">
        <v>104</v>
      </c>
      <c r="B61" s="57"/>
      <c r="C61" s="57"/>
      <c r="D61" s="56">
        <f t="shared" si="8"/>
        <v>0</v>
      </c>
      <c r="E61" s="8"/>
      <c r="F61" s="4" t="s">
        <v>111</v>
      </c>
      <c r="G61" s="53"/>
      <c r="H61" s="53"/>
      <c r="I61" s="56">
        <f t="shared" si="9"/>
        <v>0</v>
      </c>
    </row>
    <row r="62" spans="1:9" x14ac:dyDescent="0.35">
      <c r="A62" s="4" t="s">
        <v>18</v>
      </c>
      <c r="B62" s="57"/>
      <c r="C62" s="57"/>
      <c r="D62" s="56">
        <f t="shared" si="8"/>
        <v>0</v>
      </c>
      <c r="E62" s="8"/>
      <c r="F62" s="4" t="s">
        <v>18</v>
      </c>
      <c r="G62" s="57"/>
      <c r="H62" s="57"/>
      <c r="I62" s="56">
        <f t="shared" si="9"/>
        <v>0</v>
      </c>
    </row>
    <row r="63" spans="1:9" x14ac:dyDescent="0.35">
      <c r="A63" s="20" t="str">
        <f>"Total " &amp; Table1531[[#Headers],[SUBSCRIPTIONS]]</f>
        <v>Total SUBSCRIPTIONS</v>
      </c>
      <c r="B63" s="55">
        <f>SUBTOTAL(9,Table1531[Budget])</f>
        <v>0</v>
      </c>
      <c r="C63" s="55">
        <f>SUBTOTAL(9,Table1531[Actual])</f>
        <v>0</v>
      </c>
      <c r="D63" s="58">
        <f>SUBTOTAL(9,Table1531[Difference])</f>
        <v>0</v>
      </c>
      <c r="E63" s="8"/>
      <c r="F63" s="20" t="str">
        <f>"Total " &amp; Table1430[[#Headers],[MISCELLANEOUS]]</f>
        <v>Total MISCELLANEOUS</v>
      </c>
      <c r="G63" s="55">
        <f>SUBTOTAL(9,Table1430[Budget])</f>
        <v>0</v>
      </c>
      <c r="H63" s="55">
        <f>SUBTOTAL(9,Table1430[Actual])</f>
        <v>0</v>
      </c>
      <c r="I63" s="58">
        <f>SUBTOTAL(9,Table1430[Difference])</f>
        <v>0</v>
      </c>
    </row>
    <row r="64" spans="1:9" x14ac:dyDescent="0.35">
      <c r="E64" s="8"/>
      <c r="F64" s="7"/>
    </row>
    <row r="65" spans="5:6" x14ac:dyDescent="0.35">
      <c r="E65" s="8"/>
      <c r="F65" s="7"/>
    </row>
    <row r="66" spans="5:6" x14ac:dyDescent="0.35">
      <c r="E66" s="8"/>
      <c r="F66" s="7"/>
    </row>
    <row r="67" spans="5:6" x14ac:dyDescent="0.35">
      <c r="E67" s="8"/>
      <c r="F67" s="7"/>
    </row>
    <row r="68" spans="5:6" x14ac:dyDescent="0.35">
      <c r="E68" s="8"/>
      <c r="F68" s="7"/>
    </row>
    <row r="69" spans="5:6" x14ac:dyDescent="0.35">
      <c r="E69" s="8"/>
      <c r="F69" s="7"/>
    </row>
    <row r="70" spans="5:6" x14ac:dyDescent="0.35">
      <c r="E70" s="8"/>
    </row>
    <row r="71" spans="5:6" x14ac:dyDescent="0.35">
      <c r="E71" s="8"/>
    </row>
    <row r="72" spans="5:6" x14ac:dyDescent="0.35">
      <c r="E72" s="8"/>
      <c r="F72" s="7"/>
    </row>
    <row r="73" spans="5:6" x14ac:dyDescent="0.35">
      <c r="E73" s="8"/>
      <c r="F73" s="7"/>
    </row>
    <row r="74" spans="5:6" x14ac:dyDescent="0.35">
      <c r="E74" s="12"/>
      <c r="F74" s="7"/>
    </row>
    <row r="75" spans="5:6" x14ac:dyDescent="0.35">
      <c r="E75" s="13"/>
      <c r="F75" s="7"/>
    </row>
    <row r="76" spans="5:6" x14ac:dyDescent="0.35">
      <c r="E76" s="13"/>
      <c r="F76" s="7"/>
    </row>
    <row r="77" spans="5:6" x14ac:dyDescent="0.35">
      <c r="E77" s="13"/>
      <c r="F77" s="7"/>
    </row>
    <row r="78" spans="5:6" x14ac:dyDescent="0.35">
      <c r="E78" s="13"/>
      <c r="F78" s="7"/>
    </row>
    <row r="79" spans="5:6" x14ac:dyDescent="0.35">
      <c r="E79" s="8"/>
      <c r="F79" s="7"/>
    </row>
    <row r="80" spans="5:6" x14ac:dyDescent="0.35">
      <c r="E80" s="12"/>
      <c r="F80" s="7"/>
    </row>
    <row r="81" spans="5:6" x14ac:dyDescent="0.35">
      <c r="E81" s="13"/>
      <c r="F81" s="7"/>
    </row>
    <row r="82" spans="5:6" x14ac:dyDescent="0.35">
      <c r="E82" s="13"/>
    </row>
    <row r="83" spans="5:6" x14ac:dyDescent="0.35">
      <c r="E83" s="13"/>
    </row>
    <row r="84" spans="5:6" x14ac:dyDescent="0.35">
      <c r="E84" s="16" t="s">
        <v>73</v>
      </c>
    </row>
    <row r="85" spans="5:6" x14ac:dyDescent="0.35">
      <c r="E85" s="13"/>
    </row>
    <row r="86" spans="5:6" x14ac:dyDescent="0.35">
      <c r="E86" s="13"/>
    </row>
    <row r="87" spans="5:6" x14ac:dyDescent="0.35">
      <c r="E87" s="13"/>
    </row>
    <row r="88" spans="5:6" x14ac:dyDescent="0.35">
      <c r="E88" s="13"/>
    </row>
    <row r="89" spans="5:6" x14ac:dyDescent="0.35">
      <c r="E89" s="13"/>
    </row>
    <row r="90" spans="5:6" x14ac:dyDescent="0.35">
      <c r="E90" s="8"/>
    </row>
    <row r="91" spans="5:6" x14ac:dyDescent="0.35">
      <c r="E91" s="12"/>
    </row>
    <row r="92" spans="5:6" x14ac:dyDescent="0.35">
      <c r="E92" s="7"/>
    </row>
    <row r="93" spans="5:6" x14ac:dyDescent="0.35">
      <c r="E93" s="7"/>
    </row>
    <row r="94" spans="5:6" x14ac:dyDescent="0.35">
      <c r="E94" s="7"/>
    </row>
    <row r="95" spans="5:6" x14ac:dyDescent="0.35">
      <c r="E95" s="7"/>
    </row>
    <row r="96" spans="5:6" x14ac:dyDescent="0.35">
      <c r="E96" s="7"/>
    </row>
    <row r="97" spans="5:5" x14ac:dyDescent="0.35">
      <c r="E97" s="7"/>
    </row>
    <row r="98" spans="5:5" x14ac:dyDescent="0.35">
      <c r="E98" s="7"/>
    </row>
    <row r="99" spans="5:5" x14ac:dyDescent="0.35">
      <c r="E99" s="7"/>
    </row>
    <row r="100" spans="5:5" x14ac:dyDescent="0.35">
      <c r="E100" s="7"/>
    </row>
    <row r="101" spans="5:5" x14ac:dyDescent="0.35">
      <c r="E101" s="7"/>
    </row>
    <row r="122" spans="6:6" x14ac:dyDescent="0.35">
      <c r="F122" s="7"/>
    </row>
    <row r="123" spans="6:6" x14ac:dyDescent="0.35">
      <c r="F123" s="7"/>
    </row>
    <row r="124" spans="6:6" x14ac:dyDescent="0.35">
      <c r="F124" s="7"/>
    </row>
    <row r="125" spans="6:6" x14ac:dyDescent="0.35">
      <c r="F125" s="7"/>
    </row>
    <row r="126" spans="6:6" x14ac:dyDescent="0.35">
      <c r="F126" s="7"/>
    </row>
    <row r="127" spans="6:6" x14ac:dyDescent="0.35">
      <c r="F127" s="7"/>
    </row>
    <row r="128" spans="6:6" x14ac:dyDescent="0.35">
      <c r="F128" s="7"/>
    </row>
    <row r="131" spans="5:6" x14ac:dyDescent="0.35">
      <c r="F131" s="7"/>
    </row>
    <row r="132" spans="5:6" x14ac:dyDescent="0.35">
      <c r="F132" s="7"/>
    </row>
    <row r="133" spans="5:6" x14ac:dyDescent="0.35">
      <c r="F133" s="7"/>
    </row>
    <row r="134" spans="5:6" x14ac:dyDescent="0.35">
      <c r="F134" s="7"/>
    </row>
    <row r="135" spans="5:6" x14ac:dyDescent="0.35">
      <c r="F135" s="7"/>
    </row>
    <row r="136" spans="5:6" x14ac:dyDescent="0.35">
      <c r="F136" s="7"/>
    </row>
    <row r="137" spans="5:6" x14ac:dyDescent="0.35">
      <c r="F137" s="7"/>
    </row>
    <row r="141" spans="5:6" x14ac:dyDescent="0.35">
      <c r="E141" s="6"/>
    </row>
    <row r="142" spans="5:6" x14ac:dyDescent="0.35">
      <c r="E142" s="7"/>
    </row>
    <row r="143" spans="5:6" x14ac:dyDescent="0.35">
      <c r="E143" s="7"/>
    </row>
    <row r="144" spans="5:6" x14ac:dyDescent="0.35">
      <c r="E144" s="7"/>
    </row>
    <row r="145" spans="5:5" x14ac:dyDescent="0.35">
      <c r="E145" s="7"/>
    </row>
    <row r="146" spans="5:5" x14ac:dyDescent="0.35">
      <c r="E146" s="7"/>
    </row>
    <row r="147" spans="5:5" x14ac:dyDescent="0.35">
      <c r="E147" s="7"/>
    </row>
    <row r="148" spans="5:5" x14ac:dyDescent="0.35">
      <c r="E148" s="7"/>
    </row>
    <row r="150" spans="5:5" x14ac:dyDescent="0.35">
      <c r="E150" s="6"/>
    </row>
    <row r="151" spans="5:5" x14ac:dyDescent="0.35">
      <c r="E151" s="7"/>
    </row>
    <row r="152" spans="5:5" x14ac:dyDescent="0.35">
      <c r="E152" s="7"/>
    </row>
    <row r="153" spans="5:5" x14ac:dyDescent="0.35">
      <c r="E153" s="7"/>
    </row>
    <row r="154" spans="5:5" x14ac:dyDescent="0.35">
      <c r="E154" s="7"/>
    </row>
    <row r="155" spans="5:5" x14ac:dyDescent="0.35">
      <c r="E155" s="7"/>
    </row>
    <row r="156" spans="5:5" x14ac:dyDescent="0.35">
      <c r="E156" s="7"/>
    </row>
    <row r="157" spans="5:5" x14ac:dyDescent="0.35">
      <c r="E157" s="7"/>
    </row>
  </sheetData>
  <mergeCells count="1">
    <mergeCell ref="H2:I2"/>
  </mergeCells>
  <conditionalFormatting sqref="D32:D38 D52:D55 D59:D62 D16:D28 I49:I55 D5:D13 D42:D48 I11:I19 I23:I36 I40:I45 I59:I62">
    <cfRule type="cellIs" dxfId="519" priority="1" stopIfTrue="1" operator="lessThan">
      <formula>0</formula>
    </cfRule>
  </conditionalFormatting>
  <pageMargins left="0.5" right="0.5" top="0.35" bottom="0.35" header="0.5" footer="0.25"/>
  <pageSetup scale="81" orientation="portrait" r:id="rId1"/>
  <headerFooter alignWithMargins="0"/>
  <drawing r:id="rId2"/>
  <tableParts count="11">
    <tablePart r:id="rId3"/>
    <tablePart r:id="rId4"/>
    <tablePart r:id="rId5"/>
    <tablePart r:id="rId6"/>
    <tablePart r:id="rId7"/>
    <tablePart r:id="rId8"/>
    <tablePart r:id="rId9"/>
    <tablePart r:id="rId10"/>
    <tablePart r:id="rId11"/>
    <tablePart r:id="rId12"/>
    <tablePart r:id="rId1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81E5A-04C2-44A1-BBD1-3927F159D654}">
  <sheetPr>
    <pageSetUpPr fitToPage="1"/>
  </sheetPr>
  <dimension ref="A1:O157"/>
  <sheetViews>
    <sheetView showGridLines="0" workbookViewId="0">
      <selection activeCell="C28" sqref="C28"/>
    </sheetView>
  </sheetViews>
  <sheetFormatPr defaultColWidth="9" defaultRowHeight="14.4" x14ac:dyDescent="0.35"/>
  <cols>
    <col min="1" max="1" width="22.5" style="1" customWidth="1"/>
    <col min="2" max="4" width="9.59765625" style="1" customWidth="1"/>
    <col min="5" max="5" width="2.59765625" style="1" customWidth="1"/>
    <col min="6" max="6" width="22.5" style="1" customWidth="1"/>
    <col min="7" max="9" width="9.59765625" style="1" customWidth="1"/>
    <col min="10" max="16384" width="9" style="1"/>
  </cols>
  <sheetData>
    <row r="1" spans="1:15" ht="26.1" customHeight="1" x14ac:dyDescent="0.35">
      <c r="A1" s="28" t="s">
        <v>112</v>
      </c>
      <c r="B1" s="28"/>
      <c r="C1" s="28"/>
      <c r="D1" s="28"/>
      <c r="E1" s="28"/>
      <c r="F1" s="28"/>
      <c r="G1" s="28"/>
      <c r="H1" s="28"/>
      <c r="I1" s="28"/>
    </row>
    <row r="2" spans="1:15" s="2" customFormat="1" ht="13.8" x14ac:dyDescent="0.3">
      <c r="A2" s="50"/>
      <c r="B2" s="27"/>
      <c r="C2" s="27"/>
      <c r="D2" s="27"/>
      <c r="E2" s="25"/>
      <c r="F2" s="25"/>
      <c r="G2" s="26"/>
      <c r="H2" s="63"/>
      <c r="I2" s="63"/>
    </row>
    <row r="3" spans="1:15" s="2" customFormat="1" ht="12" x14ac:dyDescent="0.3">
      <c r="E3" s="3"/>
    </row>
    <row r="4" spans="1:15" x14ac:dyDescent="0.35">
      <c r="A4" s="17" t="s">
        <v>3</v>
      </c>
      <c r="B4" s="18" t="s">
        <v>74</v>
      </c>
      <c r="C4" s="19" t="s">
        <v>2</v>
      </c>
      <c r="D4" s="19" t="s">
        <v>70</v>
      </c>
      <c r="E4" s="15" t="s">
        <v>73</v>
      </c>
      <c r="F4" s="21" t="s">
        <v>76</v>
      </c>
      <c r="G4" s="22" t="s">
        <v>74</v>
      </c>
      <c r="H4" s="22" t="s">
        <v>2</v>
      </c>
      <c r="I4" s="22" t="s">
        <v>70</v>
      </c>
    </row>
    <row r="5" spans="1:15" ht="15" x14ac:dyDescent="0.35">
      <c r="A5" s="4" t="s">
        <v>13</v>
      </c>
      <c r="B5" s="53">
        <v>0</v>
      </c>
      <c r="C5" s="53">
        <v>0</v>
      </c>
      <c r="D5" s="9">
        <f t="shared" ref="D5:D11" si="0">C5-B5</f>
        <v>0</v>
      </c>
      <c r="E5" s="8"/>
      <c r="F5" s="23" t="s">
        <v>4</v>
      </c>
      <c r="G5" s="61">
        <f>Table22435[[#Totals],[Budget]]</f>
        <v>0</v>
      </c>
      <c r="H5" s="61">
        <f>Table22435[[#Totals],[Actual]]</f>
        <v>0</v>
      </c>
      <c r="I5" s="61">
        <f>G5-H5</f>
        <v>0</v>
      </c>
      <c r="L5"/>
    </row>
    <row r="6" spans="1:15" ht="15.6" thickBot="1" x14ac:dyDescent="0.4">
      <c r="A6" s="4" t="s">
        <v>7</v>
      </c>
      <c r="B6" s="53"/>
      <c r="C6" s="53"/>
      <c r="D6" s="9">
        <f t="shared" si="0"/>
        <v>0</v>
      </c>
      <c r="E6" s="8"/>
      <c r="F6" s="23" t="s">
        <v>5</v>
      </c>
      <c r="G6" s="61">
        <f>SUM(,Table52536[[#Totals],[Budget]],Table203344[[#Totals],[Budget]],Table213445[[#Totals],[Budget]],Table193243[[#Totals],[Budget]],Table153142[[#Totals],[Budget]],Table143041[[#Totals],[Budget]],Table102940[[#Totals],[Budget]],Table82839[[#Totals],[Budget]],Table72738[[#Totals],[Budget]],Table62637[[#Totals],[Budget]])</f>
        <v>0</v>
      </c>
      <c r="H6" s="61">
        <f>SUM(Table52536[[#Totals],[Actual]],Table203344[[#Totals],[Actual]],Table213445[[#Totals],[Actual]],Table193243[[#Totals],[Actual]],Table153142[[#Totals],[Actual]],Table143041[[#Totals],[Actual]],Table102940[[#Totals],[Actual]],Table82839[[#Totals],[Actual]],Table72738[[#Totals],[Actual]],Table62637[[#Totals],[Actual]])</f>
        <v>0</v>
      </c>
      <c r="I6" s="61">
        <f>G6-H6</f>
        <v>0</v>
      </c>
      <c r="L6"/>
    </row>
    <row r="7" spans="1:15" ht="15" thickTop="1" x14ac:dyDescent="0.35">
      <c r="A7" s="4" t="s">
        <v>8</v>
      </c>
      <c r="B7" s="53"/>
      <c r="C7" s="53"/>
      <c r="D7" s="9">
        <f t="shared" si="0"/>
        <v>0</v>
      </c>
      <c r="E7" s="8"/>
      <c r="F7" s="24" t="s">
        <v>6</v>
      </c>
      <c r="G7" s="62">
        <f>G5-G6</f>
        <v>0</v>
      </c>
      <c r="H7" s="62">
        <f>H5-H6</f>
        <v>0</v>
      </c>
      <c r="I7" s="62">
        <f>H7-G7</f>
        <v>0</v>
      </c>
    </row>
    <row r="8" spans="1:15" s="2" customFormat="1" x14ac:dyDescent="0.35">
      <c r="A8" s="4" t="s">
        <v>12</v>
      </c>
      <c r="B8" s="53"/>
      <c r="C8" s="53"/>
      <c r="D8" s="9">
        <f t="shared" si="0"/>
        <v>0</v>
      </c>
      <c r="E8" s="10"/>
      <c r="F8" s="10"/>
      <c r="G8" s="10"/>
      <c r="H8" s="10"/>
      <c r="I8" s="10"/>
    </row>
    <row r="9" spans="1:15" x14ac:dyDescent="0.35">
      <c r="A9" s="4" t="s">
        <v>75</v>
      </c>
      <c r="B9" s="53"/>
      <c r="C9" s="53"/>
      <c r="D9" s="9">
        <f t="shared" si="0"/>
        <v>0</v>
      </c>
      <c r="E9" s="8"/>
      <c r="F9" s="10"/>
      <c r="G9" s="10"/>
      <c r="H9" s="10"/>
      <c r="I9" s="10"/>
    </row>
    <row r="10" spans="1:15" x14ac:dyDescent="0.35">
      <c r="A10" s="4" t="s">
        <v>71</v>
      </c>
      <c r="B10" s="53"/>
      <c r="C10" s="53"/>
      <c r="D10" s="9">
        <f t="shared" si="0"/>
        <v>0</v>
      </c>
      <c r="E10" s="8"/>
      <c r="F10" s="17" t="s">
        <v>38</v>
      </c>
      <c r="G10" s="18" t="s">
        <v>74</v>
      </c>
      <c r="H10" s="19" t="s">
        <v>2</v>
      </c>
      <c r="I10" s="19" t="s">
        <v>70</v>
      </c>
    </row>
    <row r="11" spans="1:15" x14ac:dyDescent="0.35">
      <c r="A11" s="4" t="s">
        <v>18</v>
      </c>
      <c r="B11" s="53"/>
      <c r="C11" s="53"/>
      <c r="D11" s="9">
        <f t="shared" si="0"/>
        <v>0</v>
      </c>
      <c r="E11" s="8"/>
      <c r="F11" s="4" t="s">
        <v>10</v>
      </c>
      <c r="G11" s="57"/>
      <c r="H11" s="57"/>
      <c r="I11" s="56">
        <f t="shared" ref="I11:I19" si="1">G11-H11</f>
        <v>0</v>
      </c>
    </row>
    <row r="12" spans="1:15" x14ac:dyDescent="0.35">
      <c r="A12" s="4" t="s">
        <v>18</v>
      </c>
      <c r="B12" s="54"/>
      <c r="C12" s="54"/>
      <c r="D12" s="9">
        <f>C12-B12</f>
        <v>0</v>
      </c>
      <c r="E12" s="8"/>
      <c r="F12" s="4" t="s">
        <v>39</v>
      </c>
      <c r="G12" s="57"/>
      <c r="H12" s="57"/>
      <c r="I12" s="56">
        <f t="shared" si="1"/>
        <v>0</v>
      </c>
    </row>
    <row r="13" spans="1:15" x14ac:dyDescent="0.35">
      <c r="A13" s="20" t="str">
        <f>"Total " &amp; Table22435[[#Headers],[INCOME]]</f>
        <v>Total INCOME</v>
      </c>
      <c r="B13" s="55">
        <f>SUBTOTAL(9,Table22435[Budget])</f>
        <v>0</v>
      </c>
      <c r="C13" s="55">
        <f>SUBTOTAL(9,Table22435[Actual])</f>
        <v>0</v>
      </c>
      <c r="D13" s="11">
        <f>SUBTOTAL(9,Table22435[Difference])</f>
        <v>0</v>
      </c>
      <c r="E13" s="8"/>
      <c r="F13" s="4" t="s">
        <v>9</v>
      </c>
      <c r="G13" s="57"/>
      <c r="H13" s="57"/>
      <c r="I13" s="56">
        <f t="shared" si="1"/>
        <v>0</v>
      </c>
    </row>
    <row r="14" spans="1:15" x14ac:dyDescent="0.35">
      <c r="A14" s="8"/>
      <c r="B14" s="8"/>
      <c r="C14" s="8"/>
      <c r="D14" s="8"/>
      <c r="E14" s="8"/>
      <c r="F14" s="4" t="s">
        <v>105</v>
      </c>
      <c r="G14" s="57"/>
      <c r="H14" s="57"/>
      <c r="I14" s="56">
        <f t="shared" si="1"/>
        <v>0</v>
      </c>
    </row>
    <row r="15" spans="1:15" x14ac:dyDescent="0.35">
      <c r="A15" s="17" t="s">
        <v>15</v>
      </c>
      <c r="B15" s="18" t="s">
        <v>74</v>
      </c>
      <c r="C15" s="19" t="s">
        <v>2</v>
      </c>
      <c r="D15" s="19" t="s">
        <v>70</v>
      </c>
      <c r="E15" s="8"/>
      <c r="F15" s="4" t="s">
        <v>106</v>
      </c>
      <c r="G15" s="57"/>
      <c r="H15" s="57"/>
      <c r="I15" s="56">
        <f t="shared" si="1"/>
        <v>0</v>
      </c>
    </row>
    <row r="16" spans="1:15" ht="15" x14ac:dyDescent="0.35">
      <c r="A16" s="4" t="s">
        <v>60</v>
      </c>
      <c r="B16" s="53"/>
      <c r="C16" s="53"/>
      <c r="D16" s="56"/>
      <c r="E16" s="8"/>
      <c r="F16" s="4" t="s">
        <v>61</v>
      </c>
      <c r="G16" s="57"/>
      <c r="H16" s="57"/>
      <c r="I16" s="56">
        <f t="shared" si="1"/>
        <v>0</v>
      </c>
      <c r="O16"/>
    </row>
    <row r="17" spans="1:9" x14ac:dyDescent="0.35">
      <c r="A17" s="4" t="s">
        <v>98</v>
      </c>
      <c r="B17" s="53"/>
      <c r="C17" s="53"/>
      <c r="D17" s="56"/>
      <c r="E17" s="8"/>
      <c r="F17" s="4" t="s">
        <v>62</v>
      </c>
      <c r="G17" s="57"/>
      <c r="H17" s="57"/>
      <c r="I17" s="56">
        <f t="shared" si="1"/>
        <v>0</v>
      </c>
    </row>
    <row r="18" spans="1:9" x14ac:dyDescent="0.35">
      <c r="A18" s="4" t="s">
        <v>16</v>
      </c>
      <c r="B18" s="53"/>
      <c r="C18" s="53"/>
      <c r="D18" s="56"/>
      <c r="E18" s="8"/>
      <c r="F18" s="4" t="s">
        <v>107</v>
      </c>
      <c r="G18" s="57"/>
      <c r="H18" s="57"/>
      <c r="I18" s="56">
        <f t="shared" si="1"/>
        <v>0</v>
      </c>
    </row>
    <row r="19" spans="1:9" x14ac:dyDescent="0.35">
      <c r="A19" s="4" t="s">
        <v>59</v>
      </c>
      <c r="B19" s="53"/>
      <c r="C19" s="53"/>
      <c r="D19" s="56"/>
      <c r="E19" s="8"/>
      <c r="F19" s="4" t="s">
        <v>18</v>
      </c>
      <c r="G19" s="57"/>
      <c r="H19" s="57"/>
      <c r="I19" s="56">
        <f t="shared" si="1"/>
        <v>0</v>
      </c>
    </row>
    <row r="20" spans="1:9" s="5" customFormat="1" x14ac:dyDescent="0.35">
      <c r="A20" s="4" t="s">
        <v>58</v>
      </c>
      <c r="B20" s="53"/>
      <c r="C20" s="53"/>
      <c r="D20" s="56"/>
      <c r="E20" s="8"/>
      <c r="F20" s="20" t="str">
        <f>"Total " &amp; Table62637[[#Headers],[DAILY LIVING]]</f>
        <v>Total DAILY LIVING</v>
      </c>
      <c r="G20" s="55">
        <f>SUBTOTAL(9,Table62637[Budget])</f>
        <v>0</v>
      </c>
      <c r="H20" s="55">
        <f>SUBTOTAL(9,Table62637[Actual])</f>
        <v>0</v>
      </c>
      <c r="I20" s="58">
        <f>SUBTOTAL(9,Table62637[Difference])</f>
        <v>0</v>
      </c>
    </row>
    <row r="21" spans="1:9" x14ac:dyDescent="0.35">
      <c r="A21" s="4" t="s">
        <v>20</v>
      </c>
      <c r="B21" s="53"/>
      <c r="C21" s="53"/>
      <c r="D21" s="56"/>
      <c r="E21" s="8"/>
      <c r="F21" s="8"/>
      <c r="G21" s="14"/>
      <c r="H21" s="14"/>
      <c r="I21" s="14"/>
    </row>
    <row r="22" spans="1:9" x14ac:dyDescent="0.35">
      <c r="A22" s="4" t="s">
        <v>57</v>
      </c>
      <c r="B22" s="53"/>
      <c r="C22" s="53"/>
      <c r="D22" s="56"/>
      <c r="E22" s="8"/>
      <c r="F22" s="17" t="s">
        <v>29</v>
      </c>
      <c r="G22" s="18" t="s">
        <v>74</v>
      </c>
      <c r="H22" s="19" t="s">
        <v>2</v>
      </c>
      <c r="I22" s="19" t="s">
        <v>70</v>
      </c>
    </row>
    <row r="23" spans="1:9" x14ac:dyDescent="0.35">
      <c r="A23" s="4" t="s">
        <v>17</v>
      </c>
      <c r="B23" s="53"/>
      <c r="C23" s="53"/>
      <c r="D23" s="56"/>
      <c r="E23" s="8"/>
      <c r="F23" s="4" t="s">
        <v>64</v>
      </c>
      <c r="G23" s="57"/>
      <c r="H23" s="57"/>
      <c r="I23" s="56">
        <f t="shared" ref="I23:I36" si="2">G23-H23</f>
        <v>0</v>
      </c>
    </row>
    <row r="24" spans="1:9" x14ac:dyDescent="0.35">
      <c r="A24" s="4" t="s">
        <v>56</v>
      </c>
      <c r="B24" s="53"/>
      <c r="C24" s="53"/>
      <c r="D24" s="56"/>
      <c r="E24" s="8"/>
      <c r="F24" s="4" t="s">
        <v>0</v>
      </c>
      <c r="G24" s="57"/>
      <c r="H24" s="57"/>
      <c r="I24" s="56">
        <f t="shared" si="2"/>
        <v>0</v>
      </c>
    </row>
    <row r="25" spans="1:9" x14ac:dyDescent="0.35">
      <c r="A25" s="4" t="s">
        <v>55</v>
      </c>
      <c r="B25" s="53"/>
      <c r="C25" s="53"/>
      <c r="D25" s="56"/>
      <c r="E25" s="8"/>
      <c r="F25" s="4" t="s">
        <v>67</v>
      </c>
      <c r="G25" s="57"/>
      <c r="H25" s="57"/>
      <c r="I25" s="56">
        <f t="shared" si="2"/>
        <v>0</v>
      </c>
    </row>
    <row r="26" spans="1:9" x14ac:dyDescent="0.35">
      <c r="A26" s="4" t="s">
        <v>99</v>
      </c>
      <c r="B26" s="53"/>
      <c r="C26" s="53"/>
      <c r="D26" s="56"/>
      <c r="E26" s="8"/>
      <c r="F26" s="4" t="s">
        <v>33</v>
      </c>
      <c r="G26" s="57"/>
      <c r="H26" s="57"/>
      <c r="I26" s="56">
        <f t="shared" si="2"/>
        <v>0</v>
      </c>
    </row>
    <row r="27" spans="1:9" x14ac:dyDescent="0.35">
      <c r="A27" s="4" t="s">
        <v>19</v>
      </c>
      <c r="B27" s="53"/>
      <c r="C27" s="53"/>
      <c r="D27" s="56"/>
      <c r="E27" s="8"/>
      <c r="F27" s="4" t="s">
        <v>63</v>
      </c>
      <c r="G27" s="57"/>
      <c r="H27" s="57"/>
      <c r="I27" s="56">
        <f t="shared" si="2"/>
        <v>0</v>
      </c>
    </row>
    <row r="28" spans="1:9" x14ac:dyDescent="0.35">
      <c r="A28" s="4" t="s">
        <v>18</v>
      </c>
      <c r="B28" s="57"/>
      <c r="C28" s="57"/>
      <c r="D28" s="56"/>
      <c r="E28" s="8"/>
      <c r="F28" s="4" t="s">
        <v>65</v>
      </c>
      <c r="G28" s="57"/>
      <c r="H28" s="57"/>
      <c r="I28" s="56">
        <f t="shared" si="2"/>
        <v>0</v>
      </c>
    </row>
    <row r="29" spans="1:9" x14ac:dyDescent="0.35">
      <c r="A29" s="20" t="str">
        <f>"Total " &amp; Table52536[[#Headers],[HOME EXPENSES]]</f>
        <v>Total HOME EXPENSES</v>
      </c>
      <c r="B29" s="55" t="s">
        <v>113</v>
      </c>
      <c r="C29" s="55" t="s">
        <v>113</v>
      </c>
      <c r="D29" s="58"/>
      <c r="E29" s="8"/>
      <c r="F29" s="4" t="s">
        <v>30</v>
      </c>
      <c r="G29" s="57"/>
      <c r="H29" s="57"/>
      <c r="I29" s="56">
        <f t="shared" si="2"/>
        <v>0</v>
      </c>
    </row>
    <row r="30" spans="1:9" x14ac:dyDescent="0.35">
      <c r="A30" s="8"/>
      <c r="B30" s="14"/>
      <c r="C30" s="14"/>
      <c r="D30" s="14"/>
      <c r="E30" s="8"/>
      <c r="F30" s="4" t="s">
        <v>35</v>
      </c>
      <c r="G30" s="57"/>
      <c r="H30" s="57"/>
      <c r="I30" s="56">
        <f t="shared" si="2"/>
        <v>0</v>
      </c>
    </row>
    <row r="31" spans="1:9" x14ac:dyDescent="0.35">
      <c r="A31" s="17" t="s">
        <v>21</v>
      </c>
      <c r="B31" s="18" t="s">
        <v>74</v>
      </c>
      <c r="C31" s="19" t="s">
        <v>2</v>
      </c>
      <c r="D31" s="19" t="s">
        <v>70</v>
      </c>
      <c r="E31" s="8"/>
      <c r="F31" s="4" t="s">
        <v>66</v>
      </c>
      <c r="G31" s="57"/>
      <c r="H31" s="57"/>
      <c r="I31" s="56">
        <f t="shared" si="2"/>
        <v>0</v>
      </c>
    </row>
    <row r="32" spans="1:9" x14ac:dyDescent="0.35">
      <c r="A32" s="4" t="s">
        <v>22</v>
      </c>
      <c r="B32" s="57"/>
      <c r="C32" s="57"/>
      <c r="D32" s="56">
        <f>B32-C32</f>
        <v>0</v>
      </c>
      <c r="E32" s="8"/>
      <c r="F32" s="4" t="s">
        <v>36</v>
      </c>
      <c r="G32" s="57"/>
      <c r="H32" s="57"/>
      <c r="I32" s="56">
        <f t="shared" si="2"/>
        <v>0</v>
      </c>
    </row>
    <row r="33" spans="1:9" x14ac:dyDescent="0.35">
      <c r="A33" s="4" t="s">
        <v>100</v>
      </c>
      <c r="B33" s="57"/>
      <c r="C33" s="57"/>
      <c r="D33" s="56">
        <f t="shared" ref="D33:D38" si="3">B33-C33</f>
        <v>0</v>
      </c>
      <c r="E33" s="8"/>
      <c r="F33" s="4" t="s">
        <v>34</v>
      </c>
      <c r="G33" s="57"/>
      <c r="H33" s="57"/>
      <c r="I33" s="56">
        <f t="shared" si="2"/>
        <v>0</v>
      </c>
    </row>
    <row r="34" spans="1:9" x14ac:dyDescent="0.35">
      <c r="A34" s="4" t="s">
        <v>23</v>
      </c>
      <c r="B34" s="57"/>
      <c r="C34" s="57"/>
      <c r="D34" s="56">
        <f>B34-C34</f>
        <v>0</v>
      </c>
      <c r="E34" s="8"/>
      <c r="F34" s="4" t="s">
        <v>68</v>
      </c>
      <c r="G34" s="57"/>
      <c r="H34" s="57"/>
      <c r="I34" s="56">
        <f t="shared" si="2"/>
        <v>0</v>
      </c>
    </row>
    <row r="35" spans="1:9" x14ac:dyDescent="0.35">
      <c r="A35" s="4" t="s">
        <v>53</v>
      </c>
      <c r="B35" s="57"/>
      <c r="C35" s="57"/>
      <c r="D35" s="56">
        <f t="shared" si="3"/>
        <v>0</v>
      </c>
      <c r="E35" s="8"/>
      <c r="F35" s="4" t="s">
        <v>108</v>
      </c>
      <c r="G35" s="57"/>
      <c r="H35" s="57"/>
      <c r="I35" s="56">
        <f t="shared" si="2"/>
        <v>0</v>
      </c>
    </row>
    <row r="36" spans="1:9" x14ac:dyDescent="0.35">
      <c r="A36" s="4" t="s">
        <v>24</v>
      </c>
      <c r="B36" s="57"/>
      <c r="C36" s="57"/>
      <c r="D36" s="56">
        <f t="shared" si="3"/>
        <v>0</v>
      </c>
      <c r="E36" s="8"/>
      <c r="F36" s="4" t="s">
        <v>18</v>
      </c>
      <c r="G36" s="57"/>
      <c r="H36" s="57"/>
      <c r="I36" s="56">
        <f t="shared" si="2"/>
        <v>0</v>
      </c>
    </row>
    <row r="37" spans="1:9" x14ac:dyDescent="0.35">
      <c r="A37" s="4" t="s">
        <v>54</v>
      </c>
      <c r="B37" s="57"/>
      <c r="C37" s="57"/>
      <c r="D37" s="56">
        <f t="shared" si="3"/>
        <v>0</v>
      </c>
      <c r="E37" s="8"/>
      <c r="F37" s="20" t="str">
        <f>"Total " &amp; Table72738[[#Headers],[ENTERTAINMENT]]</f>
        <v>Total ENTERTAINMENT</v>
      </c>
      <c r="G37" s="55">
        <f>SUBTOTAL(9,Table72738[Budget])</f>
        <v>0</v>
      </c>
      <c r="H37" s="55">
        <f>SUBTOTAL(9,Table72738[Actual])</f>
        <v>0</v>
      </c>
      <c r="I37" s="58">
        <f>SUBTOTAL(9,Table72738[Difference])</f>
        <v>0</v>
      </c>
    </row>
    <row r="38" spans="1:9" x14ac:dyDescent="0.35">
      <c r="A38" s="4" t="s">
        <v>18</v>
      </c>
      <c r="B38" s="57"/>
      <c r="C38" s="57"/>
      <c r="D38" s="56">
        <f t="shared" si="3"/>
        <v>0</v>
      </c>
      <c r="E38" s="8"/>
      <c r="F38" s="8"/>
      <c r="G38" s="14"/>
      <c r="H38" s="14"/>
      <c r="I38" s="14"/>
    </row>
    <row r="39" spans="1:9" x14ac:dyDescent="0.35">
      <c r="A39" s="20" t="str">
        <f>"Total " &amp; Table203344[[#Headers],[TRANSPORTATION]]</f>
        <v>Total TRANSPORTATION</v>
      </c>
      <c r="B39" s="55">
        <f>SUBTOTAL(9,Table203344[Budget])</f>
        <v>0</v>
      </c>
      <c r="C39" s="55">
        <f>SUBTOTAL(9,Table203344[Actual])</f>
        <v>0</v>
      </c>
      <c r="D39" s="58">
        <f>SUBTOTAL(9,Table203344[Difference])</f>
        <v>0</v>
      </c>
      <c r="E39" s="8"/>
      <c r="F39" s="17" t="s">
        <v>46</v>
      </c>
      <c r="G39" s="18" t="s">
        <v>74</v>
      </c>
      <c r="H39" s="19" t="s">
        <v>2</v>
      </c>
      <c r="I39" s="19" t="s">
        <v>70</v>
      </c>
    </row>
    <row r="40" spans="1:9" x14ac:dyDescent="0.35">
      <c r="A40" s="8"/>
      <c r="B40" s="14"/>
      <c r="C40" s="14"/>
      <c r="D40" s="14"/>
      <c r="E40" s="8"/>
      <c r="F40" s="4" t="s">
        <v>43</v>
      </c>
      <c r="G40" s="57"/>
      <c r="H40" s="57"/>
      <c r="I40" s="56">
        <f>G40-H40</f>
        <v>0</v>
      </c>
    </row>
    <row r="41" spans="1:9" x14ac:dyDescent="0.35">
      <c r="A41" s="17" t="s">
        <v>25</v>
      </c>
      <c r="B41" s="18" t="s">
        <v>74</v>
      </c>
      <c r="C41" s="19" t="s">
        <v>2</v>
      </c>
      <c r="D41" s="19" t="s">
        <v>70</v>
      </c>
      <c r="E41" s="8"/>
      <c r="F41" s="4" t="s">
        <v>44</v>
      </c>
      <c r="G41" s="57"/>
      <c r="H41" s="57"/>
      <c r="I41" s="56">
        <f t="shared" ref="I41:I42" si="4">G41-H41</f>
        <v>0</v>
      </c>
    </row>
    <row r="42" spans="1:9" x14ac:dyDescent="0.35">
      <c r="A42" s="4" t="s">
        <v>101</v>
      </c>
      <c r="B42" s="57"/>
      <c r="C42" s="57"/>
      <c r="D42" s="56">
        <f t="shared" ref="D42:D48" si="5">B42-C42</f>
        <v>0</v>
      </c>
      <c r="E42" s="8"/>
      <c r="F42" s="4" t="s">
        <v>47</v>
      </c>
      <c r="G42" s="57"/>
      <c r="H42" s="57"/>
      <c r="I42" s="56">
        <f t="shared" si="4"/>
        <v>0</v>
      </c>
    </row>
    <row r="43" spans="1:9" x14ac:dyDescent="0.35">
      <c r="A43" s="4" t="s">
        <v>26</v>
      </c>
      <c r="B43" s="57"/>
      <c r="C43" s="57"/>
      <c r="D43" s="56">
        <f t="shared" si="5"/>
        <v>0</v>
      </c>
      <c r="E43" s="8"/>
      <c r="F43" s="4" t="s">
        <v>45</v>
      </c>
      <c r="G43" s="57"/>
      <c r="H43" s="57"/>
      <c r="I43" s="56">
        <f>G43-H43</f>
        <v>0</v>
      </c>
    </row>
    <row r="44" spans="1:9" x14ac:dyDescent="0.35">
      <c r="A44" s="4" t="s">
        <v>27</v>
      </c>
      <c r="B44" s="57"/>
      <c r="C44" s="57"/>
      <c r="D44" s="56">
        <f t="shared" si="5"/>
        <v>0</v>
      </c>
      <c r="E44" s="8"/>
      <c r="F44" s="4" t="s">
        <v>109</v>
      </c>
      <c r="G44" s="57"/>
      <c r="H44" s="57"/>
      <c r="I44" s="56">
        <f>G44-H44</f>
        <v>0</v>
      </c>
    </row>
    <row r="45" spans="1:9" x14ac:dyDescent="0.35">
      <c r="A45" s="4" t="s">
        <v>28</v>
      </c>
      <c r="B45" s="57"/>
      <c r="C45" s="57"/>
      <c r="D45" s="56">
        <f t="shared" si="5"/>
        <v>0</v>
      </c>
      <c r="E45" s="8"/>
      <c r="F45" s="4" t="s">
        <v>18</v>
      </c>
      <c r="G45" s="57"/>
      <c r="H45" s="57"/>
      <c r="I45" s="56">
        <f>G45-H45</f>
        <v>0</v>
      </c>
    </row>
    <row r="46" spans="1:9" x14ac:dyDescent="0.35">
      <c r="A46" s="4" t="s">
        <v>102</v>
      </c>
      <c r="B46" s="57"/>
      <c r="C46" s="57"/>
      <c r="D46" s="56">
        <f t="shared" si="5"/>
        <v>0</v>
      </c>
      <c r="E46" s="8"/>
      <c r="F46" s="20" t="str">
        <f>"Total " &amp; Table82839[[#Headers],[SAVINGS]]</f>
        <v>Total SAVINGS</v>
      </c>
      <c r="G46" s="55">
        <f>SUBTOTAL(9,Table82839[Budget])</f>
        <v>0</v>
      </c>
      <c r="H46" s="55">
        <f>SUBTOTAL(9,Table82839[Actual])</f>
        <v>0</v>
      </c>
      <c r="I46" s="58">
        <f>SUBTOTAL(9,Table82839[Difference])</f>
        <v>0</v>
      </c>
    </row>
    <row r="47" spans="1:9" x14ac:dyDescent="0.35">
      <c r="A47" s="4" t="s">
        <v>103</v>
      </c>
      <c r="B47" s="57"/>
      <c r="C47" s="57"/>
      <c r="D47" s="56">
        <f t="shared" si="5"/>
        <v>0</v>
      </c>
      <c r="E47" s="8"/>
      <c r="F47" s="8"/>
      <c r="G47" s="14"/>
      <c r="H47" s="14"/>
      <c r="I47" s="14"/>
    </row>
    <row r="48" spans="1:9" x14ac:dyDescent="0.35">
      <c r="A48" s="4" t="s">
        <v>18</v>
      </c>
      <c r="B48" s="57"/>
      <c r="C48" s="57"/>
      <c r="D48" s="56">
        <f t="shared" si="5"/>
        <v>0</v>
      </c>
      <c r="E48" s="8"/>
      <c r="F48" s="17" t="s">
        <v>48</v>
      </c>
      <c r="G48" s="18" t="s">
        <v>74</v>
      </c>
      <c r="H48" s="19" t="s">
        <v>2</v>
      </c>
      <c r="I48" s="19" t="s">
        <v>70</v>
      </c>
    </row>
    <row r="49" spans="1:9" x14ac:dyDescent="0.35">
      <c r="A49" s="20" t="str">
        <f>"Total " &amp; Table213445[[#Headers],[HEALTH]]</f>
        <v>Total HEALTH</v>
      </c>
      <c r="B49" s="55">
        <f>SUBTOTAL(9,Table213445[Budget])</f>
        <v>0</v>
      </c>
      <c r="C49" s="55">
        <f>SUBTOTAL(9,Table213445[Actual])</f>
        <v>0</v>
      </c>
      <c r="D49" s="58">
        <f>SUBTOTAL(9,Table213445[Difference])</f>
        <v>0</v>
      </c>
      <c r="E49" s="8"/>
      <c r="F49" s="4" t="s">
        <v>49</v>
      </c>
      <c r="G49" s="57"/>
      <c r="H49" s="57"/>
      <c r="I49" s="56">
        <f t="shared" ref="I49:I55" si="6">G49-H49</f>
        <v>0</v>
      </c>
    </row>
    <row r="50" spans="1:9" x14ac:dyDescent="0.35">
      <c r="A50" s="8"/>
      <c r="B50" s="14"/>
      <c r="C50" s="14"/>
      <c r="D50" s="14"/>
      <c r="E50" s="8"/>
      <c r="F50" s="4" t="s">
        <v>50</v>
      </c>
      <c r="G50" s="57"/>
      <c r="H50" s="57"/>
      <c r="I50" s="56">
        <f t="shared" si="6"/>
        <v>0</v>
      </c>
    </row>
    <row r="51" spans="1:9" x14ac:dyDescent="0.35">
      <c r="A51" s="17" t="s">
        <v>69</v>
      </c>
      <c r="B51" s="18" t="s">
        <v>74</v>
      </c>
      <c r="C51" s="19" t="s">
        <v>2</v>
      </c>
      <c r="D51" s="19" t="s">
        <v>70</v>
      </c>
      <c r="E51" s="8"/>
      <c r="F51" s="4" t="s">
        <v>110</v>
      </c>
      <c r="G51" s="57"/>
      <c r="H51" s="57"/>
      <c r="I51" s="56">
        <f t="shared" si="6"/>
        <v>0</v>
      </c>
    </row>
    <row r="52" spans="1:9" x14ac:dyDescent="0.35">
      <c r="A52" s="4" t="s">
        <v>11</v>
      </c>
      <c r="B52" s="57"/>
      <c r="C52" s="57"/>
      <c r="D52" s="59">
        <f t="shared" ref="D52:D55" si="7">B52-C52</f>
        <v>0</v>
      </c>
      <c r="E52" s="8"/>
      <c r="F52" s="4" t="s">
        <v>72</v>
      </c>
      <c r="G52" s="57"/>
      <c r="H52" s="57"/>
      <c r="I52" s="56">
        <f t="shared" si="6"/>
        <v>0</v>
      </c>
    </row>
    <row r="53" spans="1:9" x14ac:dyDescent="0.35">
      <c r="A53" s="4" t="s">
        <v>40</v>
      </c>
      <c r="B53" s="57"/>
      <c r="C53" s="57"/>
      <c r="D53" s="59">
        <f t="shared" si="7"/>
        <v>0</v>
      </c>
      <c r="E53" s="8"/>
      <c r="F53" s="4" t="s">
        <v>51</v>
      </c>
      <c r="G53" s="57"/>
      <c r="H53" s="57"/>
      <c r="I53" s="56">
        <f t="shared" si="6"/>
        <v>0</v>
      </c>
    </row>
    <row r="54" spans="1:9" x14ac:dyDescent="0.35">
      <c r="A54" s="4" t="s">
        <v>41</v>
      </c>
      <c r="B54" s="57"/>
      <c r="C54" s="57"/>
      <c r="D54" s="59">
        <f t="shared" si="7"/>
        <v>0</v>
      </c>
      <c r="E54" s="8"/>
      <c r="F54" s="4" t="s">
        <v>52</v>
      </c>
      <c r="G54" s="57"/>
      <c r="H54" s="57"/>
      <c r="I54" s="56">
        <f t="shared" si="6"/>
        <v>0</v>
      </c>
    </row>
    <row r="55" spans="1:9" x14ac:dyDescent="0.35">
      <c r="A55" s="4" t="s">
        <v>18</v>
      </c>
      <c r="B55" s="57"/>
      <c r="C55" s="57"/>
      <c r="D55" s="59">
        <f t="shared" si="7"/>
        <v>0</v>
      </c>
      <c r="E55" s="8"/>
      <c r="F55" s="4" t="s">
        <v>18</v>
      </c>
      <c r="G55" s="57"/>
      <c r="H55" s="57"/>
      <c r="I55" s="56">
        <f t="shared" si="6"/>
        <v>0</v>
      </c>
    </row>
    <row r="56" spans="1:9" x14ac:dyDescent="0.35">
      <c r="A56" s="20" t="str">
        <f>"Total " &amp; Table193243[[#Headers],[CHARITY/GIFTS]]</f>
        <v>Total CHARITY/GIFTS</v>
      </c>
      <c r="B56" s="55">
        <f>SUBTOTAL(9,Table193243[Budget])</f>
        <v>0</v>
      </c>
      <c r="C56" s="55">
        <f>SUBTOTAL(9,Table193243[Actual])</f>
        <v>0</v>
      </c>
      <c r="D56" s="60">
        <f>SUBTOTAL(9,Table193243[Difference])</f>
        <v>0</v>
      </c>
      <c r="E56" s="8"/>
      <c r="F56" s="20" t="str">
        <f>"Total " &amp; Table102940[[#Headers],[OBLIGATIONS]]</f>
        <v>Total OBLIGATIONS</v>
      </c>
      <c r="G56" s="55">
        <f>SUBTOTAL(9,Table102940[Budget])</f>
        <v>0</v>
      </c>
      <c r="H56" s="55">
        <f>SUBTOTAL(9,Table102940[Actual])</f>
        <v>0</v>
      </c>
      <c r="I56" s="58">
        <f>SUBTOTAL(9,Table102940[Difference])</f>
        <v>0</v>
      </c>
    </row>
    <row r="57" spans="1:9" x14ac:dyDescent="0.35">
      <c r="A57" s="8"/>
      <c r="B57" s="14"/>
      <c r="C57" s="14"/>
      <c r="D57" s="14"/>
      <c r="E57" s="8"/>
      <c r="F57" s="8"/>
      <c r="G57" s="14"/>
      <c r="H57" s="14"/>
      <c r="I57" s="14"/>
    </row>
    <row r="58" spans="1:9" x14ac:dyDescent="0.35">
      <c r="A58" s="17" t="s">
        <v>37</v>
      </c>
      <c r="B58" s="18" t="s">
        <v>74</v>
      </c>
      <c r="C58" s="19" t="s">
        <v>2</v>
      </c>
      <c r="D58" s="19" t="s">
        <v>70</v>
      </c>
      <c r="E58" s="8"/>
      <c r="F58" s="17" t="s">
        <v>14</v>
      </c>
      <c r="G58" s="18" t="s">
        <v>74</v>
      </c>
      <c r="H58" s="19" t="s">
        <v>2</v>
      </c>
      <c r="I58" s="19" t="s">
        <v>70</v>
      </c>
    </row>
    <row r="59" spans="1:9" x14ac:dyDescent="0.35">
      <c r="A59" s="4" t="s">
        <v>31</v>
      </c>
      <c r="B59" s="57"/>
      <c r="C59" s="57"/>
      <c r="D59" s="56">
        <f t="shared" ref="D59:D62" si="8">B59-C59</f>
        <v>0</v>
      </c>
      <c r="E59" s="8"/>
      <c r="F59" s="4" t="s">
        <v>42</v>
      </c>
      <c r="G59" s="53"/>
      <c r="H59" s="53"/>
      <c r="I59" s="56">
        <f t="shared" ref="I59:I62" si="9">G59-H59</f>
        <v>0</v>
      </c>
    </row>
    <row r="60" spans="1:9" x14ac:dyDescent="0.35">
      <c r="A60" s="4" t="s">
        <v>32</v>
      </c>
      <c r="B60" s="57"/>
      <c r="C60" s="57"/>
      <c r="D60" s="56">
        <f t="shared" si="8"/>
        <v>0</v>
      </c>
      <c r="E60" s="8"/>
      <c r="F60" s="4" t="s">
        <v>1</v>
      </c>
      <c r="G60" s="53"/>
      <c r="H60" s="53"/>
      <c r="I60" s="56">
        <f t="shared" si="9"/>
        <v>0</v>
      </c>
    </row>
    <row r="61" spans="1:9" x14ac:dyDescent="0.35">
      <c r="A61" s="4" t="s">
        <v>104</v>
      </c>
      <c r="B61" s="57"/>
      <c r="C61" s="57"/>
      <c r="D61" s="56">
        <f t="shared" si="8"/>
        <v>0</v>
      </c>
      <c r="E61" s="8"/>
      <c r="F61" s="4" t="s">
        <v>111</v>
      </c>
      <c r="G61" s="53"/>
      <c r="H61" s="53"/>
      <c r="I61" s="56">
        <f t="shared" si="9"/>
        <v>0</v>
      </c>
    </row>
    <row r="62" spans="1:9" x14ac:dyDescent="0.35">
      <c r="A62" s="4" t="s">
        <v>18</v>
      </c>
      <c r="B62" s="57"/>
      <c r="C62" s="57"/>
      <c r="D62" s="56">
        <f t="shared" si="8"/>
        <v>0</v>
      </c>
      <c r="E62" s="8"/>
      <c r="F62" s="4" t="s">
        <v>18</v>
      </c>
      <c r="G62" s="57"/>
      <c r="H62" s="57"/>
      <c r="I62" s="56">
        <f t="shared" si="9"/>
        <v>0</v>
      </c>
    </row>
    <row r="63" spans="1:9" x14ac:dyDescent="0.35">
      <c r="A63" s="20" t="str">
        <f>"Total " &amp; Table153142[[#Headers],[SUBSCRIPTIONS]]</f>
        <v>Total SUBSCRIPTIONS</v>
      </c>
      <c r="B63" s="55">
        <f>SUBTOTAL(9,Table153142[Budget])</f>
        <v>0</v>
      </c>
      <c r="C63" s="55">
        <f>SUBTOTAL(9,Table153142[Actual])</f>
        <v>0</v>
      </c>
      <c r="D63" s="58">
        <f>SUBTOTAL(9,Table153142[Difference])</f>
        <v>0</v>
      </c>
      <c r="E63" s="8"/>
      <c r="F63" s="20" t="str">
        <f>"Total " &amp; Table143041[[#Headers],[MISCELLANEOUS]]</f>
        <v>Total MISCELLANEOUS</v>
      </c>
      <c r="G63" s="55">
        <f>SUBTOTAL(9,Table143041[Budget])</f>
        <v>0</v>
      </c>
      <c r="H63" s="55">
        <f>SUBTOTAL(9,Table143041[Actual])</f>
        <v>0</v>
      </c>
      <c r="I63" s="58">
        <f>SUBTOTAL(9,Table143041[Difference])</f>
        <v>0</v>
      </c>
    </row>
    <row r="64" spans="1:9" x14ac:dyDescent="0.35">
      <c r="E64" s="8"/>
      <c r="F64" s="7"/>
    </row>
    <row r="65" spans="5:6" x14ac:dyDescent="0.35">
      <c r="E65" s="8"/>
      <c r="F65" s="7"/>
    </row>
    <row r="66" spans="5:6" x14ac:dyDescent="0.35">
      <c r="E66" s="8"/>
      <c r="F66" s="7"/>
    </row>
    <row r="67" spans="5:6" x14ac:dyDescent="0.35">
      <c r="E67" s="8"/>
      <c r="F67" s="7"/>
    </row>
    <row r="68" spans="5:6" x14ac:dyDescent="0.35">
      <c r="E68" s="8"/>
      <c r="F68" s="7"/>
    </row>
    <row r="69" spans="5:6" x14ac:dyDescent="0.35">
      <c r="E69" s="8"/>
      <c r="F69" s="7"/>
    </row>
    <row r="70" spans="5:6" x14ac:dyDescent="0.35">
      <c r="E70" s="8"/>
    </row>
    <row r="71" spans="5:6" x14ac:dyDescent="0.35">
      <c r="E71" s="8"/>
    </row>
    <row r="72" spans="5:6" x14ac:dyDescent="0.35">
      <c r="E72" s="8"/>
      <c r="F72" s="7"/>
    </row>
    <row r="73" spans="5:6" x14ac:dyDescent="0.35">
      <c r="E73" s="8"/>
      <c r="F73" s="7"/>
    </row>
    <row r="74" spans="5:6" x14ac:dyDescent="0.35">
      <c r="E74" s="12"/>
      <c r="F74" s="7"/>
    </row>
    <row r="75" spans="5:6" x14ac:dyDescent="0.35">
      <c r="E75" s="13"/>
      <c r="F75" s="7"/>
    </row>
    <row r="76" spans="5:6" x14ac:dyDescent="0.35">
      <c r="E76" s="13"/>
      <c r="F76" s="7"/>
    </row>
    <row r="77" spans="5:6" x14ac:dyDescent="0.35">
      <c r="E77" s="13"/>
      <c r="F77" s="7"/>
    </row>
    <row r="78" spans="5:6" x14ac:dyDescent="0.35">
      <c r="E78" s="13"/>
      <c r="F78" s="7"/>
    </row>
    <row r="79" spans="5:6" x14ac:dyDescent="0.35">
      <c r="E79" s="8"/>
      <c r="F79" s="7"/>
    </row>
    <row r="80" spans="5:6" x14ac:dyDescent="0.35">
      <c r="E80" s="12"/>
      <c r="F80" s="7"/>
    </row>
    <row r="81" spans="5:6" x14ac:dyDescent="0.35">
      <c r="E81" s="13"/>
      <c r="F81" s="7"/>
    </row>
    <row r="82" spans="5:6" x14ac:dyDescent="0.35">
      <c r="E82" s="13"/>
    </row>
    <row r="83" spans="5:6" x14ac:dyDescent="0.35">
      <c r="E83" s="13"/>
    </row>
    <row r="84" spans="5:6" x14ac:dyDescent="0.35">
      <c r="E84" s="16" t="s">
        <v>73</v>
      </c>
    </row>
    <row r="85" spans="5:6" x14ac:dyDescent="0.35">
      <c r="E85" s="13"/>
    </row>
    <row r="86" spans="5:6" x14ac:dyDescent="0.35">
      <c r="E86" s="13"/>
    </row>
    <row r="87" spans="5:6" x14ac:dyDescent="0.35">
      <c r="E87" s="13"/>
    </row>
    <row r="88" spans="5:6" x14ac:dyDescent="0.35">
      <c r="E88" s="13"/>
    </row>
    <row r="89" spans="5:6" x14ac:dyDescent="0.35">
      <c r="E89" s="13"/>
    </row>
    <row r="90" spans="5:6" x14ac:dyDescent="0.35">
      <c r="E90" s="8"/>
    </row>
    <row r="91" spans="5:6" x14ac:dyDescent="0.35">
      <c r="E91" s="12"/>
    </row>
    <row r="92" spans="5:6" x14ac:dyDescent="0.35">
      <c r="E92" s="7"/>
    </row>
    <row r="93" spans="5:6" x14ac:dyDescent="0.35">
      <c r="E93" s="7"/>
    </row>
    <row r="94" spans="5:6" x14ac:dyDescent="0.35">
      <c r="E94" s="7"/>
    </row>
    <row r="95" spans="5:6" x14ac:dyDescent="0.35">
      <c r="E95" s="7"/>
    </row>
    <row r="96" spans="5:6" x14ac:dyDescent="0.35">
      <c r="E96" s="7"/>
    </row>
    <row r="97" spans="5:5" x14ac:dyDescent="0.35">
      <c r="E97" s="7"/>
    </row>
    <row r="98" spans="5:5" x14ac:dyDescent="0.35">
      <c r="E98" s="7"/>
    </row>
    <row r="99" spans="5:5" x14ac:dyDescent="0.35">
      <c r="E99" s="7"/>
    </row>
    <row r="100" spans="5:5" x14ac:dyDescent="0.35">
      <c r="E100" s="7"/>
    </row>
    <row r="101" spans="5:5" x14ac:dyDescent="0.35">
      <c r="E101" s="7"/>
    </row>
    <row r="122" spans="6:6" x14ac:dyDescent="0.35">
      <c r="F122" s="7"/>
    </row>
    <row r="123" spans="6:6" x14ac:dyDescent="0.35">
      <c r="F123" s="7"/>
    </row>
    <row r="124" spans="6:6" x14ac:dyDescent="0.35">
      <c r="F124" s="7"/>
    </row>
    <row r="125" spans="6:6" x14ac:dyDescent="0.35">
      <c r="F125" s="7"/>
    </row>
    <row r="126" spans="6:6" x14ac:dyDescent="0.35">
      <c r="F126" s="7"/>
    </row>
    <row r="127" spans="6:6" x14ac:dyDescent="0.35">
      <c r="F127" s="7"/>
    </row>
    <row r="128" spans="6:6" x14ac:dyDescent="0.35">
      <c r="F128" s="7"/>
    </row>
    <row r="131" spans="5:6" x14ac:dyDescent="0.35">
      <c r="F131" s="7"/>
    </row>
    <row r="132" spans="5:6" x14ac:dyDescent="0.35">
      <c r="F132" s="7"/>
    </row>
    <row r="133" spans="5:6" x14ac:dyDescent="0.35">
      <c r="F133" s="7"/>
    </row>
    <row r="134" spans="5:6" x14ac:dyDescent="0.35">
      <c r="F134" s="7"/>
    </row>
    <row r="135" spans="5:6" x14ac:dyDescent="0.35">
      <c r="F135" s="7"/>
    </row>
    <row r="136" spans="5:6" x14ac:dyDescent="0.35">
      <c r="F136" s="7"/>
    </row>
    <row r="137" spans="5:6" x14ac:dyDescent="0.35">
      <c r="F137" s="7"/>
    </row>
    <row r="141" spans="5:6" x14ac:dyDescent="0.35">
      <c r="E141" s="6"/>
    </row>
    <row r="142" spans="5:6" x14ac:dyDescent="0.35">
      <c r="E142" s="7"/>
    </row>
    <row r="143" spans="5:6" x14ac:dyDescent="0.35">
      <c r="E143" s="7"/>
    </row>
    <row r="144" spans="5:6" x14ac:dyDescent="0.35">
      <c r="E144" s="7"/>
    </row>
    <row r="145" spans="5:5" x14ac:dyDescent="0.35">
      <c r="E145" s="7"/>
    </row>
    <row r="146" spans="5:5" x14ac:dyDescent="0.35">
      <c r="E146" s="7"/>
    </row>
    <row r="147" spans="5:5" x14ac:dyDescent="0.35">
      <c r="E147" s="7"/>
    </row>
    <row r="148" spans="5:5" x14ac:dyDescent="0.35">
      <c r="E148" s="7"/>
    </row>
    <row r="150" spans="5:5" x14ac:dyDescent="0.35">
      <c r="E150" s="6"/>
    </row>
    <row r="151" spans="5:5" x14ac:dyDescent="0.35">
      <c r="E151" s="7"/>
    </row>
    <row r="152" spans="5:5" x14ac:dyDescent="0.35">
      <c r="E152" s="7"/>
    </row>
    <row r="153" spans="5:5" x14ac:dyDescent="0.35">
      <c r="E153" s="7"/>
    </row>
    <row r="154" spans="5:5" x14ac:dyDescent="0.35">
      <c r="E154" s="7"/>
    </row>
    <row r="155" spans="5:5" x14ac:dyDescent="0.35">
      <c r="E155" s="7"/>
    </row>
    <row r="156" spans="5:5" x14ac:dyDescent="0.35">
      <c r="E156" s="7"/>
    </row>
    <row r="157" spans="5:5" x14ac:dyDescent="0.35">
      <c r="E157" s="7"/>
    </row>
  </sheetData>
  <mergeCells count="1">
    <mergeCell ref="H2:I2"/>
  </mergeCells>
  <conditionalFormatting sqref="D32:D38 D52:D55 D59:D62 D16:D28 I49:I55 D5:D13 D42:D48 I11:I19 I23:I36 I40:I45 I59:I62">
    <cfRule type="cellIs" dxfId="389" priority="1" stopIfTrue="1" operator="lessThan">
      <formula>0</formula>
    </cfRule>
  </conditionalFormatting>
  <pageMargins left="0.5" right="0.5" top="0.35" bottom="0.35" header="0.5" footer="0.25"/>
  <pageSetup scale="81" orientation="portrait" r:id="rId1"/>
  <headerFooter alignWithMargins="0"/>
  <drawing r:id="rId2"/>
  <tableParts count="11">
    <tablePart r:id="rId3"/>
    <tablePart r:id="rId4"/>
    <tablePart r:id="rId5"/>
    <tablePart r:id="rId6"/>
    <tablePart r:id="rId7"/>
    <tablePart r:id="rId8"/>
    <tablePart r:id="rId9"/>
    <tablePart r:id="rId10"/>
    <tablePart r:id="rId11"/>
    <tablePart r:id="rId12"/>
    <tablePart r:id="rId1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706EC-C4D0-43F9-85B5-78BD1C28770A}">
  <sheetPr>
    <pageSetUpPr fitToPage="1"/>
  </sheetPr>
  <dimension ref="A1:O157"/>
  <sheetViews>
    <sheetView showGridLines="0" workbookViewId="0">
      <selection activeCell="A3" sqref="A3"/>
    </sheetView>
  </sheetViews>
  <sheetFormatPr defaultColWidth="9" defaultRowHeight="14.4" x14ac:dyDescent="0.35"/>
  <cols>
    <col min="1" max="1" width="22.5" style="1" customWidth="1"/>
    <col min="2" max="4" width="9.59765625" style="1" customWidth="1"/>
    <col min="5" max="5" width="2.59765625" style="1" customWidth="1"/>
    <col min="6" max="6" width="22.5" style="1" customWidth="1"/>
    <col min="7" max="9" width="9.59765625" style="1" customWidth="1"/>
    <col min="10" max="16384" width="9" style="1"/>
  </cols>
  <sheetData>
    <row r="1" spans="1:15" ht="26.1" customHeight="1" x14ac:dyDescent="0.35">
      <c r="A1" s="28" t="s">
        <v>112</v>
      </c>
      <c r="B1" s="28"/>
      <c r="C1" s="28"/>
      <c r="D1" s="28"/>
      <c r="E1" s="28"/>
      <c r="F1" s="28"/>
      <c r="G1" s="28"/>
      <c r="H1" s="28"/>
      <c r="I1" s="28"/>
    </row>
    <row r="2" spans="1:15" s="2" customFormat="1" ht="13.8" x14ac:dyDescent="0.3">
      <c r="A2" s="50" t="s">
        <v>114</v>
      </c>
      <c r="B2" s="27"/>
      <c r="C2" s="27"/>
      <c r="D2" s="27"/>
      <c r="E2" s="25"/>
      <c r="F2" s="25"/>
      <c r="G2" s="26"/>
      <c r="H2" s="63"/>
      <c r="I2" s="63"/>
    </row>
    <row r="3" spans="1:15" s="2" customFormat="1" ht="12" x14ac:dyDescent="0.3">
      <c r="E3" s="3"/>
    </row>
    <row r="4" spans="1:15" x14ac:dyDescent="0.35">
      <c r="A4" s="17" t="s">
        <v>3</v>
      </c>
      <c r="B4" s="18" t="s">
        <v>74</v>
      </c>
      <c r="C4" s="19" t="s">
        <v>2</v>
      </c>
      <c r="D4" s="19" t="s">
        <v>70</v>
      </c>
      <c r="E4" s="15" t="s">
        <v>73</v>
      </c>
      <c r="F4" s="21" t="s">
        <v>76</v>
      </c>
      <c r="G4" s="22" t="s">
        <v>74</v>
      </c>
      <c r="H4" s="22" t="s">
        <v>2</v>
      </c>
      <c r="I4" s="22" t="s">
        <v>70</v>
      </c>
    </row>
    <row r="5" spans="1:15" ht="15" x14ac:dyDescent="0.35">
      <c r="A5" s="4" t="s">
        <v>13</v>
      </c>
      <c r="B5" s="53">
        <v>0</v>
      </c>
      <c r="C5" s="53">
        <v>0</v>
      </c>
      <c r="D5" s="9">
        <f t="shared" ref="D5:D11" si="0">C5-B5</f>
        <v>0</v>
      </c>
      <c r="E5" s="8"/>
      <c r="F5" s="23" t="s">
        <v>4</v>
      </c>
      <c r="G5" s="61">
        <f>Table2243546[[#Totals],[Budget]]</f>
        <v>0</v>
      </c>
      <c r="H5" s="61">
        <f>Table2243546[[#Totals],[Actual]]</f>
        <v>0</v>
      </c>
      <c r="I5" s="61">
        <f>G5-H5</f>
        <v>0</v>
      </c>
      <c r="L5"/>
    </row>
    <row r="6" spans="1:15" ht="15.6" thickBot="1" x14ac:dyDescent="0.4">
      <c r="A6" s="4" t="s">
        <v>7</v>
      </c>
      <c r="B6" s="53"/>
      <c r="C6" s="53"/>
      <c r="D6" s="9">
        <f t="shared" si="0"/>
        <v>0</v>
      </c>
      <c r="E6" s="8"/>
      <c r="F6" s="23" t="s">
        <v>5</v>
      </c>
      <c r="G6" s="61">
        <f>SUM(,Table5253647[[#Totals],[Budget]],Table20334455[[#Totals],[Budget]],Table21344556[[#Totals],[Budget]],Table19324354[[#Totals],[Budget]],Table15314253[[#Totals],[Budget]],Table14304152[[#Totals],[Budget]],Table10294051[[#Totals],[Budget]],Table8283950[[#Totals],[Budget]],Table7273849[[#Totals],[Budget]],Table6263748[[#Totals],[Budget]])</f>
        <v>0</v>
      </c>
      <c r="H6" s="61">
        <f>SUM(Table5253647[[#Totals],[Actual]],Table20334455[[#Totals],[Actual]],Table21344556[[#Totals],[Actual]],Table19324354[[#Totals],[Actual]],Table15314253[[#Totals],[Actual]],Table14304152[[#Totals],[Actual]],Table10294051[[#Totals],[Actual]],Table8283950[[#Totals],[Actual]],Table7273849[[#Totals],[Actual]],Table6263748[[#Totals],[Actual]])</f>
        <v>0</v>
      </c>
      <c r="I6" s="61">
        <f>G6-H6</f>
        <v>0</v>
      </c>
      <c r="L6"/>
    </row>
    <row r="7" spans="1:15" ht="15" thickTop="1" x14ac:dyDescent="0.35">
      <c r="A7" s="4" t="s">
        <v>8</v>
      </c>
      <c r="B7" s="53"/>
      <c r="C7" s="53"/>
      <c r="D7" s="9">
        <f t="shared" si="0"/>
        <v>0</v>
      </c>
      <c r="E7" s="8"/>
      <c r="F7" s="24" t="s">
        <v>6</v>
      </c>
      <c r="G7" s="62">
        <f>G5-G6</f>
        <v>0</v>
      </c>
      <c r="H7" s="62">
        <f>H5-H6</f>
        <v>0</v>
      </c>
      <c r="I7" s="62">
        <f>H7-G7</f>
        <v>0</v>
      </c>
    </row>
    <row r="8" spans="1:15" s="2" customFormat="1" x14ac:dyDescent="0.35">
      <c r="A8" s="4" t="s">
        <v>12</v>
      </c>
      <c r="B8" s="53"/>
      <c r="C8" s="53"/>
      <c r="D8" s="9">
        <f t="shared" si="0"/>
        <v>0</v>
      </c>
      <c r="E8" s="10"/>
      <c r="F8" s="10"/>
      <c r="G8" s="10"/>
      <c r="H8" s="10"/>
      <c r="I8" s="10"/>
    </row>
    <row r="9" spans="1:15" x14ac:dyDescent="0.35">
      <c r="A9" s="4" t="s">
        <v>75</v>
      </c>
      <c r="B9" s="53"/>
      <c r="C9" s="53"/>
      <c r="D9" s="9">
        <f t="shared" si="0"/>
        <v>0</v>
      </c>
      <c r="E9" s="8"/>
      <c r="F9" s="10"/>
      <c r="G9" s="10"/>
      <c r="H9" s="10"/>
      <c r="I9" s="10"/>
    </row>
    <row r="10" spans="1:15" x14ac:dyDescent="0.35">
      <c r="A10" s="4" t="s">
        <v>71</v>
      </c>
      <c r="B10" s="53"/>
      <c r="C10" s="53"/>
      <c r="D10" s="9">
        <f t="shared" si="0"/>
        <v>0</v>
      </c>
      <c r="E10" s="8"/>
      <c r="F10" s="17" t="s">
        <v>38</v>
      </c>
      <c r="G10" s="18" t="s">
        <v>74</v>
      </c>
      <c r="H10" s="19" t="s">
        <v>2</v>
      </c>
      <c r="I10" s="19" t="s">
        <v>70</v>
      </c>
    </row>
    <row r="11" spans="1:15" x14ac:dyDescent="0.35">
      <c r="A11" s="4" t="s">
        <v>18</v>
      </c>
      <c r="B11" s="53"/>
      <c r="C11" s="53"/>
      <c r="D11" s="9">
        <f t="shared" si="0"/>
        <v>0</v>
      </c>
      <c r="E11" s="8"/>
      <c r="F11" s="4" t="s">
        <v>10</v>
      </c>
      <c r="G11" s="57"/>
      <c r="H11" s="57"/>
      <c r="I11" s="56">
        <f t="shared" ref="I11:I19" si="1">G11-H11</f>
        <v>0</v>
      </c>
    </row>
    <row r="12" spans="1:15" x14ac:dyDescent="0.35">
      <c r="A12" s="4" t="s">
        <v>18</v>
      </c>
      <c r="B12" s="54"/>
      <c r="C12" s="54"/>
      <c r="D12" s="9">
        <f>C12-B12</f>
        <v>0</v>
      </c>
      <c r="E12" s="8"/>
      <c r="F12" s="4" t="s">
        <v>39</v>
      </c>
      <c r="G12" s="57"/>
      <c r="H12" s="57"/>
      <c r="I12" s="56">
        <f t="shared" si="1"/>
        <v>0</v>
      </c>
    </row>
    <row r="13" spans="1:15" x14ac:dyDescent="0.35">
      <c r="A13" s="20" t="str">
        <f>"Total " &amp; Table2243546[[#Headers],[INCOME]]</f>
        <v>Total INCOME</v>
      </c>
      <c r="B13" s="55">
        <f>SUBTOTAL(9,Table2243546[Budget])</f>
        <v>0</v>
      </c>
      <c r="C13" s="55">
        <f>SUBTOTAL(9,Table2243546[Actual])</f>
        <v>0</v>
      </c>
      <c r="D13" s="11">
        <f>SUBTOTAL(9,Table2243546[Difference])</f>
        <v>0</v>
      </c>
      <c r="E13" s="8"/>
      <c r="F13" s="4" t="s">
        <v>9</v>
      </c>
      <c r="G13" s="57"/>
      <c r="H13" s="57"/>
      <c r="I13" s="56">
        <f t="shared" si="1"/>
        <v>0</v>
      </c>
    </row>
    <row r="14" spans="1:15" x14ac:dyDescent="0.35">
      <c r="A14" s="8"/>
      <c r="B14" s="8"/>
      <c r="C14" s="8"/>
      <c r="D14" s="8"/>
      <c r="E14" s="8"/>
      <c r="F14" s="4" t="s">
        <v>105</v>
      </c>
      <c r="G14" s="57"/>
      <c r="H14" s="57"/>
      <c r="I14" s="56">
        <f t="shared" si="1"/>
        <v>0</v>
      </c>
    </row>
    <row r="15" spans="1:15" x14ac:dyDescent="0.35">
      <c r="A15" s="17" t="s">
        <v>15</v>
      </c>
      <c r="B15" s="18" t="s">
        <v>74</v>
      </c>
      <c r="C15" s="19" t="s">
        <v>2</v>
      </c>
      <c r="D15" s="19" t="s">
        <v>70</v>
      </c>
      <c r="E15" s="8"/>
      <c r="F15" s="4" t="s">
        <v>106</v>
      </c>
      <c r="G15" s="57"/>
      <c r="H15" s="57"/>
      <c r="I15" s="56">
        <f t="shared" si="1"/>
        <v>0</v>
      </c>
    </row>
    <row r="16" spans="1:15" ht="15" x14ac:dyDescent="0.35">
      <c r="A16" s="4" t="s">
        <v>60</v>
      </c>
      <c r="B16" s="53"/>
      <c r="C16" s="53"/>
      <c r="D16" s="56"/>
      <c r="E16" s="8"/>
      <c r="F16" s="4" t="s">
        <v>61</v>
      </c>
      <c r="G16" s="57"/>
      <c r="H16" s="57"/>
      <c r="I16" s="56">
        <f t="shared" si="1"/>
        <v>0</v>
      </c>
      <c r="O16"/>
    </row>
    <row r="17" spans="1:9" x14ac:dyDescent="0.35">
      <c r="A17" s="4" t="s">
        <v>98</v>
      </c>
      <c r="B17" s="53"/>
      <c r="C17" s="53"/>
      <c r="D17" s="56"/>
      <c r="E17" s="8"/>
      <c r="F17" s="4" t="s">
        <v>62</v>
      </c>
      <c r="G17" s="57"/>
      <c r="H17" s="57"/>
      <c r="I17" s="56">
        <f t="shared" si="1"/>
        <v>0</v>
      </c>
    </row>
    <row r="18" spans="1:9" x14ac:dyDescent="0.35">
      <c r="A18" s="4" t="s">
        <v>16</v>
      </c>
      <c r="B18" s="53"/>
      <c r="C18" s="53"/>
      <c r="D18" s="56"/>
      <c r="E18" s="8"/>
      <c r="F18" s="4" t="s">
        <v>107</v>
      </c>
      <c r="G18" s="57"/>
      <c r="H18" s="57"/>
      <c r="I18" s="56">
        <f t="shared" si="1"/>
        <v>0</v>
      </c>
    </row>
    <row r="19" spans="1:9" x14ac:dyDescent="0.35">
      <c r="A19" s="4" t="s">
        <v>59</v>
      </c>
      <c r="B19" s="53"/>
      <c r="C19" s="53"/>
      <c r="D19" s="56"/>
      <c r="E19" s="8"/>
      <c r="F19" s="4" t="s">
        <v>18</v>
      </c>
      <c r="G19" s="57"/>
      <c r="H19" s="57"/>
      <c r="I19" s="56">
        <f t="shared" si="1"/>
        <v>0</v>
      </c>
    </row>
    <row r="20" spans="1:9" s="5" customFormat="1" x14ac:dyDescent="0.35">
      <c r="A20" s="4" t="s">
        <v>58</v>
      </c>
      <c r="B20" s="53"/>
      <c r="C20" s="53"/>
      <c r="D20" s="56"/>
      <c r="E20" s="8"/>
      <c r="F20" s="20" t="str">
        <f>"Total " &amp; Table6263748[[#Headers],[DAILY LIVING]]</f>
        <v>Total DAILY LIVING</v>
      </c>
      <c r="G20" s="55">
        <f>SUBTOTAL(9,Table6263748[Budget])</f>
        <v>0</v>
      </c>
      <c r="H20" s="55">
        <f>SUBTOTAL(9,Table6263748[Actual])</f>
        <v>0</v>
      </c>
      <c r="I20" s="58">
        <f>SUBTOTAL(9,Table6263748[Difference])</f>
        <v>0</v>
      </c>
    </row>
    <row r="21" spans="1:9" x14ac:dyDescent="0.35">
      <c r="A21" s="4" t="s">
        <v>20</v>
      </c>
      <c r="B21" s="53"/>
      <c r="C21" s="53"/>
      <c r="D21" s="56"/>
      <c r="E21" s="8"/>
      <c r="F21" s="8"/>
      <c r="G21" s="14"/>
      <c r="H21" s="14"/>
      <c r="I21" s="14"/>
    </row>
    <row r="22" spans="1:9" x14ac:dyDescent="0.35">
      <c r="A22" s="4" t="s">
        <v>57</v>
      </c>
      <c r="B22" s="53"/>
      <c r="C22" s="53"/>
      <c r="D22" s="56"/>
      <c r="E22" s="8"/>
      <c r="F22" s="17" t="s">
        <v>29</v>
      </c>
      <c r="G22" s="18" t="s">
        <v>74</v>
      </c>
      <c r="H22" s="19" t="s">
        <v>2</v>
      </c>
      <c r="I22" s="19" t="s">
        <v>70</v>
      </c>
    </row>
    <row r="23" spans="1:9" x14ac:dyDescent="0.35">
      <c r="A23" s="4" t="s">
        <v>17</v>
      </c>
      <c r="B23" s="53"/>
      <c r="C23" s="53"/>
      <c r="D23" s="56"/>
      <c r="E23" s="8"/>
      <c r="F23" s="4" t="s">
        <v>64</v>
      </c>
      <c r="G23" s="57"/>
      <c r="H23" s="57"/>
      <c r="I23" s="56">
        <f t="shared" ref="I23:I36" si="2">G23-H23</f>
        <v>0</v>
      </c>
    </row>
    <row r="24" spans="1:9" x14ac:dyDescent="0.35">
      <c r="A24" s="4" t="s">
        <v>56</v>
      </c>
      <c r="B24" s="53"/>
      <c r="C24" s="53"/>
      <c r="D24" s="56"/>
      <c r="E24" s="8"/>
      <c r="F24" s="4" t="s">
        <v>0</v>
      </c>
      <c r="G24" s="57"/>
      <c r="H24" s="57"/>
      <c r="I24" s="56">
        <f t="shared" si="2"/>
        <v>0</v>
      </c>
    </row>
    <row r="25" spans="1:9" x14ac:dyDescent="0.35">
      <c r="A25" s="4" t="s">
        <v>55</v>
      </c>
      <c r="B25" s="53"/>
      <c r="C25" s="53"/>
      <c r="D25" s="56"/>
      <c r="E25" s="8"/>
      <c r="F25" s="4" t="s">
        <v>67</v>
      </c>
      <c r="G25" s="57"/>
      <c r="H25" s="57"/>
      <c r="I25" s="56">
        <f t="shared" si="2"/>
        <v>0</v>
      </c>
    </row>
    <row r="26" spans="1:9" x14ac:dyDescent="0.35">
      <c r="A26" s="4" t="s">
        <v>99</v>
      </c>
      <c r="B26" s="53"/>
      <c r="C26" s="53"/>
      <c r="D26" s="56"/>
      <c r="E26" s="8"/>
      <c r="F26" s="4" t="s">
        <v>33</v>
      </c>
      <c r="G26" s="57"/>
      <c r="H26" s="57"/>
      <c r="I26" s="56">
        <f t="shared" si="2"/>
        <v>0</v>
      </c>
    </row>
    <row r="27" spans="1:9" x14ac:dyDescent="0.35">
      <c r="A27" s="4" t="s">
        <v>19</v>
      </c>
      <c r="B27" s="53"/>
      <c r="C27" s="53"/>
      <c r="D27" s="56"/>
      <c r="E27" s="8"/>
      <c r="F27" s="4" t="s">
        <v>63</v>
      </c>
      <c r="G27" s="57"/>
      <c r="H27" s="57"/>
      <c r="I27" s="56">
        <f t="shared" si="2"/>
        <v>0</v>
      </c>
    </row>
    <row r="28" spans="1:9" x14ac:dyDescent="0.35">
      <c r="A28" s="4" t="s">
        <v>18</v>
      </c>
      <c r="B28" s="57"/>
      <c r="C28" s="57"/>
      <c r="D28" s="56"/>
      <c r="E28" s="8"/>
      <c r="F28" s="4" t="s">
        <v>65</v>
      </c>
      <c r="G28" s="57"/>
      <c r="H28" s="57"/>
      <c r="I28" s="56">
        <f t="shared" si="2"/>
        <v>0</v>
      </c>
    </row>
    <row r="29" spans="1:9" x14ac:dyDescent="0.35">
      <c r="A29" s="20" t="str">
        <f>"Total " &amp; Table5253647[[#Headers],[HOME EXPENSES]]</f>
        <v>Total HOME EXPENSES</v>
      </c>
      <c r="B29" s="55" t="s">
        <v>113</v>
      </c>
      <c r="C29" s="55" t="s">
        <v>113</v>
      </c>
      <c r="D29" s="58"/>
      <c r="E29" s="8"/>
      <c r="F29" s="4" t="s">
        <v>30</v>
      </c>
      <c r="G29" s="57"/>
      <c r="H29" s="57"/>
      <c r="I29" s="56">
        <f t="shared" si="2"/>
        <v>0</v>
      </c>
    </row>
    <row r="30" spans="1:9" x14ac:dyDescent="0.35">
      <c r="A30" s="8"/>
      <c r="B30" s="14"/>
      <c r="C30" s="14"/>
      <c r="D30" s="14"/>
      <c r="E30" s="8"/>
      <c r="F30" s="4" t="s">
        <v>35</v>
      </c>
      <c r="G30" s="57"/>
      <c r="H30" s="57"/>
      <c r="I30" s="56">
        <f t="shared" si="2"/>
        <v>0</v>
      </c>
    </row>
    <row r="31" spans="1:9" x14ac:dyDescent="0.35">
      <c r="A31" s="17" t="s">
        <v>21</v>
      </c>
      <c r="B31" s="18" t="s">
        <v>74</v>
      </c>
      <c r="C31" s="19" t="s">
        <v>2</v>
      </c>
      <c r="D31" s="19" t="s">
        <v>70</v>
      </c>
      <c r="E31" s="8"/>
      <c r="F31" s="4" t="s">
        <v>66</v>
      </c>
      <c r="G31" s="57"/>
      <c r="H31" s="57"/>
      <c r="I31" s="56">
        <f t="shared" si="2"/>
        <v>0</v>
      </c>
    </row>
    <row r="32" spans="1:9" x14ac:dyDescent="0.35">
      <c r="A32" s="4" t="s">
        <v>22</v>
      </c>
      <c r="B32" s="57"/>
      <c r="C32" s="57"/>
      <c r="D32" s="56">
        <f>B32-C32</f>
        <v>0</v>
      </c>
      <c r="E32" s="8"/>
      <c r="F32" s="4" t="s">
        <v>36</v>
      </c>
      <c r="G32" s="57"/>
      <c r="H32" s="57"/>
      <c r="I32" s="56">
        <f t="shared" si="2"/>
        <v>0</v>
      </c>
    </row>
    <row r="33" spans="1:9" x14ac:dyDescent="0.35">
      <c r="A33" s="4" t="s">
        <v>100</v>
      </c>
      <c r="B33" s="57"/>
      <c r="C33" s="57"/>
      <c r="D33" s="56">
        <f t="shared" ref="D33:D38" si="3">B33-C33</f>
        <v>0</v>
      </c>
      <c r="E33" s="8"/>
      <c r="F33" s="4" t="s">
        <v>34</v>
      </c>
      <c r="G33" s="57"/>
      <c r="H33" s="57"/>
      <c r="I33" s="56">
        <f t="shared" si="2"/>
        <v>0</v>
      </c>
    </row>
    <row r="34" spans="1:9" x14ac:dyDescent="0.35">
      <c r="A34" s="4" t="s">
        <v>23</v>
      </c>
      <c r="B34" s="57"/>
      <c r="C34" s="57"/>
      <c r="D34" s="56">
        <f>B34-C34</f>
        <v>0</v>
      </c>
      <c r="E34" s="8"/>
      <c r="F34" s="4" t="s">
        <v>68</v>
      </c>
      <c r="G34" s="57"/>
      <c r="H34" s="57"/>
      <c r="I34" s="56">
        <f t="shared" si="2"/>
        <v>0</v>
      </c>
    </row>
    <row r="35" spans="1:9" x14ac:dyDescent="0.35">
      <c r="A35" s="4" t="s">
        <v>53</v>
      </c>
      <c r="B35" s="57"/>
      <c r="C35" s="57"/>
      <c r="D35" s="56">
        <f t="shared" si="3"/>
        <v>0</v>
      </c>
      <c r="E35" s="8"/>
      <c r="F35" s="4" t="s">
        <v>108</v>
      </c>
      <c r="G35" s="57"/>
      <c r="H35" s="57"/>
      <c r="I35" s="56">
        <f t="shared" si="2"/>
        <v>0</v>
      </c>
    </row>
    <row r="36" spans="1:9" x14ac:dyDescent="0.35">
      <c r="A36" s="4" t="s">
        <v>24</v>
      </c>
      <c r="B36" s="57"/>
      <c r="C36" s="57"/>
      <c r="D36" s="56">
        <f t="shared" si="3"/>
        <v>0</v>
      </c>
      <c r="E36" s="8"/>
      <c r="F36" s="4" t="s">
        <v>18</v>
      </c>
      <c r="G36" s="57"/>
      <c r="H36" s="57"/>
      <c r="I36" s="56">
        <f t="shared" si="2"/>
        <v>0</v>
      </c>
    </row>
    <row r="37" spans="1:9" x14ac:dyDescent="0.35">
      <c r="A37" s="4" t="s">
        <v>54</v>
      </c>
      <c r="B37" s="57"/>
      <c r="C37" s="57"/>
      <c r="D37" s="56">
        <f t="shared" si="3"/>
        <v>0</v>
      </c>
      <c r="E37" s="8"/>
      <c r="F37" s="20" t="str">
        <f>"Total " &amp; Table7273849[[#Headers],[ENTERTAINMENT]]</f>
        <v>Total ENTERTAINMENT</v>
      </c>
      <c r="G37" s="55">
        <f>SUBTOTAL(9,Table7273849[Budget])</f>
        <v>0</v>
      </c>
      <c r="H37" s="55">
        <f>SUBTOTAL(9,Table7273849[Actual])</f>
        <v>0</v>
      </c>
      <c r="I37" s="58">
        <f>SUBTOTAL(9,Table7273849[Difference])</f>
        <v>0</v>
      </c>
    </row>
    <row r="38" spans="1:9" x14ac:dyDescent="0.35">
      <c r="A38" s="4" t="s">
        <v>18</v>
      </c>
      <c r="B38" s="57"/>
      <c r="C38" s="57"/>
      <c r="D38" s="56">
        <f t="shared" si="3"/>
        <v>0</v>
      </c>
      <c r="E38" s="8"/>
      <c r="F38" s="8"/>
      <c r="G38" s="14"/>
      <c r="H38" s="14"/>
      <c r="I38" s="14"/>
    </row>
    <row r="39" spans="1:9" x14ac:dyDescent="0.35">
      <c r="A39" s="20" t="str">
        <f>"Total " &amp; Table20334455[[#Headers],[TRANSPORTATION]]</f>
        <v>Total TRANSPORTATION</v>
      </c>
      <c r="B39" s="55">
        <f>SUBTOTAL(9,Table20334455[Budget])</f>
        <v>0</v>
      </c>
      <c r="C39" s="55">
        <f>SUBTOTAL(9,Table20334455[Actual])</f>
        <v>0</v>
      </c>
      <c r="D39" s="58">
        <f>SUBTOTAL(9,Table20334455[Difference])</f>
        <v>0</v>
      </c>
      <c r="E39" s="8"/>
      <c r="F39" s="17" t="s">
        <v>46</v>
      </c>
      <c r="G39" s="18" t="s">
        <v>74</v>
      </c>
      <c r="H39" s="19" t="s">
        <v>2</v>
      </c>
      <c r="I39" s="19" t="s">
        <v>70</v>
      </c>
    </row>
    <row r="40" spans="1:9" x14ac:dyDescent="0.35">
      <c r="A40" s="8"/>
      <c r="B40" s="14"/>
      <c r="C40" s="14"/>
      <c r="D40" s="14"/>
      <c r="E40" s="8"/>
      <c r="F40" s="4" t="s">
        <v>43</v>
      </c>
      <c r="G40" s="57"/>
      <c r="H40" s="57"/>
      <c r="I40" s="56">
        <f>G40-H40</f>
        <v>0</v>
      </c>
    </row>
    <row r="41" spans="1:9" x14ac:dyDescent="0.35">
      <c r="A41" s="17" t="s">
        <v>25</v>
      </c>
      <c r="B41" s="18" t="s">
        <v>74</v>
      </c>
      <c r="C41" s="19" t="s">
        <v>2</v>
      </c>
      <c r="D41" s="19" t="s">
        <v>70</v>
      </c>
      <c r="E41" s="8"/>
      <c r="F41" s="4" t="s">
        <v>44</v>
      </c>
      <c r="G41" s="57"/>
      <c r="H41" s="57"/>
      <c r="I41" s="56">
        <f t="shared" ref="I41:I42" si="4">G41-H41</f>
        <v>0</v>
      </c>
    </row>
    <row r="42" spans="1:9" x14ac:dyDescent="0.35">
      <c r="A42" s="4" t="s">
        <v>101</v>
      </c>
      <c r="B42" s="57"/>
      <c r="C42" s="57"/>
      <c r="D42" s="56">
        <f t="shared" ref="D42:D48" si="5">B42-C42</f>
        <v>0</v>
      </c>
      <c r="E42" s="8"/>
      <c r="F42" s="4" t="s">
        <v>47</v>
      </c>
      <c r="G42" s="57"/>
      <c r="H42" s="57"/>
      <c r="I42" s="56">
        <f t="shared" si="4"/>
        <v>0</v>
      </c>
    </row>
    <row r="43" spans="1:9" x14ac:dyDescent="0.35">
      <c r="A43" s="4" t="s">
        <v>26</v>
      </c>
      <c r="B43" s="57"/>
      <c r="C43" s="57"/>
      <c r="D43" s="56">
        <f t="shared" si="5"/>
        <v>0</v>
      </c>
      <c r="E43" s="8"/>
      <c r="F43" s="4" t="s">
        <v>45</v>
      </c>
      <c r="G43" s="57"/>
      <c r="H43" s="57"/>
      <c r="I43" s="56">
        <f>G43-H43</f>
        <v>0</v>
      </c>
    </row>
    <row r="44" spans="1:9" x14ac:dyDescent="0.35">
      <c r="A44" s="4" t="s">
        <v>27</v>
      </c>
      <c r="B44" s="57"/>
      <c r="C44" s="57"/>
      <c r="D44" s="56">
        <f t="shared" si="5"/>
        <v>0</v>
      </c>
      <c r="E44" s="8"/>
      <c r="F44" s="4" t="s">
        <v>109</v>
      </c>
      <c r="G44" s="57"/>
      <c r="H44" s="57"/>
      <c r="I44" s="56">
        <f>G44-H44</f>
        <v>0</v>
      </c>
    </row>
    <row r="45" spans="1:9" x14ac:dyDescent="0.35">
      <c r="A45" s="4" t="s">
        <v>28</v>
      </c>
      <c r="B45" s="57"/>
      <c r="C45" s="57"/>
      <c r="D45" s="56">
        <f t="shared" si="5"/>
        <v>0</v>
      </c>
      <c r="E45" s="8"/>
      <c r="F45" s="4" t="s">
        <v>18</v>
      </c>
      <c r="G45" s="57"/>
      <c r="H45" s="57"/>
      <c r="I45" s="56">
        <f>G45-H45</f>
        <v>0</v>
      </c>
    </row>
    <row r="46" spans="1:9" x14ac:dyDescent="0.35">
      <c r="A46" s="4" t="s">
        <v>102</v>
      </c>
      <c r="B46" s="57"/>
      <c r="C46" s="57"/>
      <c r="D46" s="56">
        <f t="shared" si="5"/>
        <v>0</v>
      </c>
      <c r="E46" s="8"/>
      <c r="F46" s="20" t="str">
        <f>"Total " &amp; Table8283950[[#Headers],[SAVINGS]]</f>
        <v>Total SAVINGS</v>
      </c>
      <c r="G46" s="55">
        <f>SUBTOTAL(9,Table8283950[Budget])</f>
        <v>0</v>
      </c>
      <c r="H46" s="55">
        <f>SUBTOTAL(9,Table8283950[Actual])</f>
        <v>0</v>
      </c>
      <c r="I46" s="58">
        <f>SUBTOTAL(9,Table8283950[Difference])</f>
        <v>0</v>
      </c>
    </row>
    <row r="47" spans="1:9" x14ac:dyDescent="0.35">
      <c r="A47" s="4" t="s">
        <v>103</v>
      </c>
      <c r="B47" s="57"/>
      <c r="C47" s="57"/>
      <c r="D47" s="56">
        <f t="shared" si="5"/>
        <v>0</v>
      </c>
      <c r="E47" s="8"/>
      <c r="F47" s="8"/>
      <c r="G47" s="14"/>
      <c r="H47" s="14"/>
      <c r="I47" s="14"/>
    </row>
    <row r="48" spans="1:9" x14ac:dyDescent="0.35">
      <c r="A48" s="4" t="s">
        <v>18</v>
      </c>
      <c r="B48" s="57"/>
      <c r="C48" s="57"/>
      <c r="D48" s="56">
        <f t="shared" si="5"/>
        <v>0</v>
      </c>
      <c r="E48" s="8"/>
      <c r="F48" s="17" t="s">
        <v>48</v>
      </c>
      <c r="G48" s="18" t="s">
        <v>74</v>
      </c>
      <c r="H48" s="19" t="s">
        <v>2</v>
      </c>
      <c r="I48" s="19" t="s">
        <v>70</v>
      </c>
    </row>
    <row r="49" spans="1:9" x14ac:dyDescent="0.35">
      <c r="A49" s="20" t="str">
        <f>"Total " &amp; Table21344556[[#Headers],[HEALTH]]</f>
        <v>Total HEALTH</v>
      </c>
      <c r="B49" s="55">
        <f>SUBTOTAL(9,Table21344556[Budget])</f>
        <v>0</v>
      </c>
      <c r="C49" s="55">
        <f>SUBTOTAL(9,Table21344556[Actual])</f>
        <v>0</v>
      </c>
      <c r="D49" s="58">
        <f>SUBTOTAL(9,Table21344556[Difference])</f>
        <v>0</v>
      </c>
      <c r="E49" s="8"/>
      <c r="F49" s="4" t="s">
        <v>49</v>
      </c>
      <c r="G49" s="57"/>
      <c r="H49" s="57"/>
      <c r="I49" s="56">
        <f t="shared" ref="I49:I55" si="6">G49-H49</f>
        <v>0</v>
      </c>
    </row>
    <row r="50" spans="1:9" x14ac:dyDescent="0.35">
      <c r="A50" s="8"/>
      <c r="B50" s="14"/>
      <c r="C50" s="14"/>
      <c r="D50" s="14"/>
      <c r="E50" s="8"/>
      <c r="F50" s="4" t="s">
        <v>50</v>
      </c>
      <c r="G50" s="57"/>
      <c r="H50" s="57"/>
      <c r="I50" s="56">
        <f t="shared" si="6"/>
        <v>0</v>
      </c>
    </row>
    <row r="51" spans="1:9" x14ac:dyDescent="0.35">
      <c r="A51" s="17" t="s">
        <v>69</v>
      </c>
      <c r="B51" s="18" t="s">
        <v>74</v>
      </c>
      <c r="C51" s="19" t="s">
        <v>2</v>
      </c>
      <c r="D51" s="19" t="s">
        <v>70</v>
      </c>
      <c r="E51" s="8"/>
      <c r="F51" s="4" t="s">
        <v>110</v>
      </c>
      <c r="G51" s="57"/>
      <c r="H51" s="57"/>
      <c r="I51" s="56">
        <f t="shared" si="6"/>
        <v>0</v>
      </c>
    </row>
    <row r="52" spans="1:9" x14ac:dyDescent="0.35">
      <c r="A52" s="4" t="s">
        <v>11</v>
      </c>
      <c r="B52" s="57"/>
      <c r="C52" s="57"/>
      <c r="D52" s="59">
        <f t="shared" ref="D52:D55" si="7">B52-C52</f>
        <v>0</v>
      </c>
      <c r="E52" s="8"/>
      <c r="F52" s="4" t="s">
        <v>72</v>
      </c>
      <c r="G52" s="57"/>
      <c r="H52" s="57"/>
      <c r="I52" s="56">
        <f t="shared" si="6"/>
        <v>0</v>
      </c>
    </row>
    <row r="53" spans="1:9" x14ac:dyDescent="0.35">
      <c r="A53" s="4" t="s">
        <v>40</v>
      </c>
      <c r="B53" s="57"/>
      <c r="C53" s="57"/>
      <c r="D53" s="59">
        <f t="shared" si="7"/>
        <v>0</v>
      </c>
      <c r="E53" s="8"/>
      <c r="F53" s="4" t="s">
        <v>51</v>
      </c>
      <c r="G53" s="57"/>
      <c r="H53" s="57"/>
      <c r="I53" s="56">
        <f t="shared" si="6"/>
        <v>0</v>
      </c>
    </row>
    <row r="54" spans="1:9" x14ac:dyDescent="0.35">
      <c r="A54" s="4" t="s">
        <v>41</v>
      </c>
      <c r="B54" s="57"/>
      <c r="C54" s="57"/>
      <c r="D54" s="59">
        <f t="shared" si="7"/>
        <v>0</v>
      </c>
      <c r="E54" s="8"/>
      <c r="F54" s="4" t="s">
        <v>52</v>
      </c>
      <c r="G54" s="57"/>
      <c r="H54" s="57"/>
      <c r="I54" s="56">
        <f t="shared" si="6"/>
        <v>0</v>
      </c>
    </row>
    <row r="55" spans="1:9" x14ac:dyDescent="0.35">
      <c r="A55" s="4" t="s">
        <v>18</v>
      </c>
      <c r="B55" s="57"/>
      <c r="C55" s="57"/>
      <c r="D55" s="59">
        <f t="shared" si="7"/>
        <v>0</v>
      </c>
      <c r="E55" s="8"/>
      <c r="F55" s="4" t="s">
        <v>18</v>
      </c>
      <c r="G55" s="57"/>
      <c r="H55" s="57"/>
      <c r="I55" s="56">
        <f t="shared" si="6"/>
        <v>0</v>
      </c>
    </row>
    <row r="56" spans="1:9" x14ac:dyDescent="0.35">
      <c r="A56" s="20" t="str">
        <f>"Total " &amp; Table19324354[[#Headers],[CHARITY/GIFTS]]</f>
        <v>Total CHARITY/GIFTS</v>
      </c>
      <c r="B56" s="55">
        <f>SUBTOTAL(9,Table19324354[Budget])</f>
        <v>0</v>
      </c>
      <c r="C56" s="55">
        <f>SUBTOTAL(9,Table19324354[Actual])</f>
        <v>0</v>
      </c>
      <c r="D56" s="60">
        <f>SUBTOTAL(9,Table19324354[Difference])</f>
        <v>0</v>
      </c>
      <c r="E56" s="8"/>
      <c r="F56" s="20" t="str">
        <f>"Total " &amp; Table10294051[[#Headers],[OBLIGATIONS]]</f>
        <v>Total OBLIGATIONS</v>
      </c>
      <c r="G56" s="55">
        <f>SUBTOTAL(9,Table10294051[Budget])</f>
        <v>0</v>
      </c>
      <c r="H56" s="55">
        <f>SUBTOTAL(9,Table10294051[Actual])</f>
        <v>0</v>
      </c>
      <c r="I56" s="58">
        <f>SUBTOTAL(9,Table10294051[Difference])</f>
        <v>0</v>
      </c>
    </row>
    <row r="57" spans="1:9" x14ac:dyDescent="0.35">
      <c r="A57" s="8"/>
      <c r="B57" s="14"/>
      <c r="C57" s="14"/>
      <c r="D57" s="14"/>
      <c r="E57" s="8"/>
      <c r="F57" s="8"/>
      <c r="G57" s="14"/>
      <c r="H57" s="14"/>
      <c r="I57" s="14"/>
    </row>
    <row r="58" spans="1:9" x14ac:dyDescent="0.35">
      <c r="A58" s="17" t="s">
        <v>37</v>
      </c>
      <c r="B58" s="18" t="s">
        <v>74</v>
      </c>
      <c r="C58" s="19" t="s">
        <v>2</v>
      </c>
      <c r="D58" s="19" t="s">
        <v>70</v>
      </c>
      <c r="E58" s="8"/>
      <c r="F58" s="17" t="s">
        <v>14</v>
      </c>
      <c r="G58" s="18" t="s">
        <v>74</v>
      </c>
      <c r="H58" s="19" t="s">
        <v>2</v>
      </c>
      <c r="I58" s="19" t="s">
        <v>70</v>
      </c>
    </row>
    <row r="59" spans="1:9" x14ac:dyDescent="0.35">
      <c r="A59" s="4" t="s">
        <v>31</v>
      </c>
      <c r="B59" s="57"/>
      <c r="C59" s="57"/>
      <c r="D59" s="56">
        <f t="shared" ref="D59:D62" si="8">B59-C59</f>
        <v>0</v>
      </c>
      <c r="E59" s="8"/>
      <c r="F59" s="4" t="s">
        <v>42</v>
      </c>
      <c r="G59" s="53"/>
      <c r="H59" s="53"/>
      <c r="I59" s="56">
        <f t="shared" ref="I59:I62" si="9">G59-H59</f>
        <v>0</v>
      </c>
    </row>
    <row r="60" spans="1:9" x14ac:dyDescent="0.35">
      <c r="A60" s="4" t="s">
        <v>32</v>
      </c>
      <c r="B60" s="57"/>
      <c r="C60" s="57"/>
      <c r="D60" s="56">
        <f t="shared" si="8"/>
        <v>0</v>
      </c>
      <c r="E60" s="8"/>
      <c r="F60" s="4" t="s">
        <v>1</v>
      </c>
      <c r="G60" s="53"/>
      <c r="H60" s="53"/>
      <c r="I60" s="56">
        <f t="shared" si="9"/>
        <v>0</v>
      </c>
    </row>
    <row r="61" spans="1:9" x14ac:dyDescent="0.35">
      <c r="A61" s="4" t="s">
        <v>104</v>
      </c>
      <c r="B61" s="57"/>
      <c r="C61" s="57"/>
      <c r="D61" s="56">
        <f t="shared" si="8"/>
        <v>0</v>
      </c>
      <c r="E61" s="8"/>
      <c r="F61" s="4" t="s">
        <v>111</v>
      </c>
      <c r="G61" s="53"/>
      <c r="H61" s="53"/>
      <c r="I61" s="56">
        <f t="shared" si="9"/>
        <v>0</v>
      </c>
    </row>
    <row r="62" spans="1:9" x14ac:dyDescent="0.35">
      <c r="A62" s="4" t="s">
        <v>18</v>
      </c>
      <c r="B62" s="57"/>
      <c r="C62" s="57"/>
      <c r="D62" s="56">
        <f t="shared" si="8"/>
        <v>0</v>
      </c>
      <c r="E62" s="8"/>
      <c r="F62" s="4" t="s">
        <v>18</v>
      </c>
      <c r="G62" s="57"/>
      <c r="H62" s="57"/>
      <c r="I62" s="56">
        <f t="shared" si="9"/>
        <v>0</v>
      </c>
    </row>
    <row r="63" spans="1:9" x14ac:dyDescent="0.35">
      <c r="A63" s="20" t="str">
        <f>"Total " &amp; Table15314253[[#Headers],[SUBSCRIPTIONS]]</f>
        <v>Total SUBSCRIPTIONS</v>
      </c>
      <c r="B63" s="55">
        <f>SUBTOTAL(9,Table15314253[Budget])</f>
        <v>0</v>
      </c>
      <c r="C63" s="55">
        <f>SUBTOTAL(9,Table15314253[Actual])</f>
        <v>0</v>
      </c>
      <c r="D63" s="58">
        <f>SUBTOTAL(9,Table15314253[Difference])</f>
        <v>0</v>
      </c>
      <c r="E63" s="8"/>
      <c r="F63" s="20" t="str">
        <f>"Total " &amp; Table14304152[[#Headers],[MISCELLANEOUS]]</f>
        <v>Total MISCELLANEOUS</v>
      </c>
      <c r="G63" s="55">
        <f>SUBTOTAL(9,Table14304152[Budget])</f>
        <v>0</v>
      </c>
      <c r="H63" s="55">
        <f>SUBTOTAL(9,Table14304152[Actual])</f>
        <v>0</v>
      </c>
      <c r="I63" s="58">
        <f>SUBTOTAL(9,Table14304152[Difference])</f>
        <v>0</v>
      </c>
    </row>
    <row r="64" spans="1:9" x14ac:dyDescent="0.35">
      <c r="E64" s="8"/>
      <c r="F64" s="7"/>
    </row>
    <row r="65" spans="5:6" x14ac:dyDescent="0.35">
      <c r="E65" s="8"/>
      <c r="F65" s="7"/>
    </row>
    <row r="66" spans="5:6" x14ac:dyDescent="0.35">
      <c r="E66" s="8"/>
      <c r="F66" s="7"/>
    </row>
    <row r="67" spans="5:6" x14ac:dyDescent="0.35">
      <c r="E67" s="8"/>
      <c r="F67" s="7"/>
    </row>
    <row r="68" spans="5:6" x14ac:dyDescent="0.35">
      <c r="E68" s="8"/>
      <c r="F68" s="7"/>
    </row>
    <row r="69" spans="5:6" x14ac:dyDescent="0.35">
      <c r="E69" s="8"/>
      <c r="F69" s="7"/>
    </row>
    <row r="70" spans="5:6" x14ac:dyDescent="0.35">
      <c r="E70" s="8"/>
    </row>
    <row r="71" spans="5:6" x14ac:dyDescent="0.35">
      <c r="E71" s="8"/>
    </row>
    <row r="72" spans="5:6" x14ac:dyDescent="0.35">
      <c r="E72" s="8"/>
      <c r="F72" s="7"/>
    </row>
    <row r="73" spans="5:6" x14ac:dyDescent="0.35">
      <c r="E73" s="8"/>
      <c r="F73" s="7"/>
    </row>
    <row r="74" spans="5:6" x14ac:dyDescent="0.35">
      <c r="E74" s="12"/>
      <c r="F74" s="7"/>
    </row>
    <row r="75" spans="5:6" x14ac:dyDescent="0.35">
      <c r="E75" s="13"/>
      <c r="F75" s="7"/>
    </row>
    <row r="76" spans="5:6" x14ac:dyDescent="0.35">
      <c r="E76" s="13"/>
      <c r="F76" s="7"/>
    </row>
    <row r="77" spans="5:6" x14ac:dyDescent="0.35">
      <c r="E77" s="13"/>
      <c r="F77" s="7"/>
    </row>
    <row r="78" spans="5:6" x14ac:dyDescent="0.35">
      <c r="E78" s="13"/>
      <c r="F78" s="7"/>
    </row>
    <row r="79" spans="5:6" x14ac:dyDescent="0.35">
      <c r="E79" s="8"/>
      <c r="F79" s="7"/>
    </row>
    <row r="80" spans="5:6" x14ac:dyDescent="0.35">
      <c r="E80" s="12"/>
      <c r="F80" s="7"/>
    </row>
    <row r="81" spans="5:6" x14ac:dyDescent="0.35">
      <c r="E81" s="13"/>
      <c r="F81" s="7"/>
    </row>
    <row r="82" spans="5:6" x14ac:dyDescent="0.35">
      <c r="E82" s="13"/>
    </row>
    <row r="83" spans="5:6" x14ac:dyDescent="0.35">
      <c r="E83" s="13"/>
    </row>
    <row r="84" spans="5:6" x14ac:dyDescent="0.35">
      <c r="E84" s="16" t="s">
        <v>73</v>
      </c>
    </row>
    <row r="85" spans="5:6" x14ac:dyDescent="0.35">
      <c r="E85" s="13"/>
    </row>
    <row r="86" spans="5:6" x14ac:dyDescent="0.35">
      <c r="E86" s="13"/>
    </row>
    <row r="87" spans="5:6" x14ac:dyDescent="0.35">
      <c r="E87" s="13"/>
    </row>
    <row r="88" spans="5:6" x14ac:dyDescent="0.35">
      <c r="E88" s="13"/>
    </row>
    <row r="89" spans="5:6" x14ac:dyDescent="0.35">
      <c r="E89" s="13"/>
    </row>
    <row r="90" spans="5:6" x14ac:dyDescent="0.35">
      <c r="E90" s="8"/>
    </row>
    <row r="91" spans="5:6" x14ac:dyDescent="0.35">
      <c r="E91" s="12"/>
    </row>
    <row r="92" spans="5:6" x14ac:dyDescent="0.35">
      <c r="E92" s="7"/>
    </row>
    <row r="93" spans="5:6" x14ac:dyDescent="0.35">
      <c r="E93" s="7"/>
    </row>
    <row r="94" spans="5:6" x14ac:dyDescent="0.35">
      <c r="E94" s="7"/>
    </row>
    <row r="95" spans="5:6" x14ac:dyDescent="0.35">
      <c r="E95" s="7"/>
    </row>
    <row r="96" spans="5:6" x14ac:dyDescent="0.35">
      <c r="E96" s="7"/>
    </row>
    <row r="97" spans="5:5" x14ac:dyDescent="0.35">
      <c r="E97" s="7"/>
    </row>
    <row r="98" spans="5:5" x14ac:dyDescent="0.35">
      <c r="E98" s="7"/>
    </row>
    <row r="99" spans="5:5" x14ac:dyDescent="0.35">
      <c r="E99" s="7"/>
    </row>
    <row r="100" spans="5:5" x14ac:dyDescent="0.35">
      <c r="E100" s="7"/>
    </row>
    <row r="101" spans="5:5" x14ac:dyDescent="0.35">
      <c r="E101" s="7"/>
    </row>
    <row r="122" spans="6:6" x14ac:dyDescent="0.35">
      <c r="F122" s="7"/>
    </row>
    <row r="123" spans="6:6" x14ac:dyDescent="0.35">
      <c r="F123" s="7"/>
    </row>
    <row r="124" spans="6:6" x14ac:dyDescent="0.35">
      <c r="F124" s="7"/>
    </row>
    <row r="125" spans="6:6" x14ac:dyDescent="0.35">
      <c r="F125" s="7"/>
    </row>
    <row r="126" spans="6:6" x14ac:dyDescent="0.35">
      <c r="F126" s="7"/>
    </row>
    <row r="127" spans="6:6" x14ac:dyDescent="0.35">
      <c r="F127" s="7"/>
    </row>
    <row r="128" spans="6:6" x14ac:dyDescent="0.35">
      <c r="F128" s="7"/>
    </row>
    <row r="131" spans="5:6" x14ac:dyDescent="0.35">
      <c r="F131" s="7"/>
    </row>
    <row r="132" spans="5:6" x14ac:dyDescent="0.35">
      <c r="F132" s="7"/>
    </row>
    <row r="133" spans="5:6" x14ac:dyDescent="0.35">
      <c r="F133" s="7"/>
    </row>
    <row r="134" spans="5:6" x14ac:dyDescent="0.35">
      <c r="F134" s="7"/>
    </row>
    <row r="135" spans="5:6" x14ac:dyDescent="0.35">
      <c r="F135" s="7"/>
    </row>
    <row r="136" spans="5:6" x14ac:dyDescent="0.35">
      <c r="F136" s="7"/>
    </row>
    <row r="137" spans="5:6" x14ac:dyDescent="0.35">
      <c r="F137" s="7"/>
    </row>
    <row r="141" spans="5:6" x14ac:dyDescent="0.35">
      <c r="E141" s="6"/>
    </row>
    <row r="142" spans="5:6" x14ac:dyDescent="0.35">
      <c r="E142" s="7"/>
    </row>
    <row r="143" spans="5:6" x14ac:dyDescent="0.35">
      <c r="E143" s="7"/>
    </row>
    <row r="144" spans="5:6" x14ac:dyDescent="0.35">
      <c r="E144" s="7"/>
    </row>
    <row r="145" spans="5:5" x14ac:dyDescent="0.35">
      <c r="E145" s="7"/>
    </row>
    <row r="146" spans="5:5" x14ac:dyDescent="0.35">
      <c r="E146" s="7"/>
    </row>
    <row r="147" spans="5:5" x14ac:dyDescent="0.35">
      <c r="E147" s="7"/>
    </row>
    <row r="148" spans="5:5" x14ac:dyDescent="0.35">
      <c r="E148" s="7"/>
    </row>
    <row r="150" spans="5:5" x14ac:dyDescent="0.35">
      <c r="E150" s="6"/>
    </row>
    <row r="151" spans="5:5" x14ac:dyDescent="0.35">
      <c r="E151" s="7"/>
    </row>
    <row r="152" spans="5:5" x14ac:dyDescent="0.35">
      <c r="E152" s="7"/>
    </row>
    <row r="153" spans="5:5" x14ac:dyDescent="0.35">
      <c r="E153" s="7"/>
    </row>
    <row r="154" spans="5:5" x14ac:dyDescent="0.35">
      <c r="E154" s="7"/>
    </row>
    <row r="155" spans="5:5" x14ac:dyDescent="0.35">
      <c r="E155" s="7"/>
    </row>
    <row r="156" spans="5:5" x14ac:dyDescent="0.35">
      <c r="E156" s="7"/>
    </row>
    <row r="157" spans="5:5" x14ac:dyDescent="0.35">
      <c r="E157" s="7"/>
    </row>
  </sheetData>
  <mergeCells count="1">
    <mergeCell ref="H2:I2"/>
  </mergeCells>
  <conditionalFormatting sqref="D32:D38 D52:D55 D59:D62 D16:D28 I49:I55 D5:D13 D42:D48 I11:I19 I23:I36 I40:I45 I59:I62">
    <cfRule type="cellIs" dxfId="259" priority="1" stopIfTrue="1" operator="lessThan">
      <formula>0</formula>
    </cfRule>
  </conditionalFormatting>
  <pageMargins left="0.5" right="0.5" top="0.35" bottom="0.35" header="0.5" footer="0.25"/>
  <pageSetup scale="81" orientation="portrait" r:id="rId1"/>
  <headerFooter alignWithMargins="0"/>
  <drawing r:id="rId2"/>
  <tableParts count="11">
    <tablePart r:id="rId3"/>
    <tablePart r:id="rId4"/>
    <tablePart r:id="rId5"/>
    <tablePart r:id="rId6"/>
    <tablePart r:id="rId7"/>
    <tablePart r:id="rId8"/>
    <tablePart r:id="rId9"/>
    <tablePart r:id="rId10"/>
    <tablePart r:id="rId11"/>
    <tablePart r:id="rId12"/>
    <tablePart r:id="rId1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4F8EA-5D17-4343-A3E9-45720CD99B1B}">
  <sheetPr>
    <pageSetUpPr fitToPage="1"/>
  </sheetPr>
  <dimension ref="A1:O157"/>
  <sheetViews>
    <sheetView showGridLines="0" tabSelected="1" workbookViewId="0">
      <selection activeCell="I24" sqref="I24"/>
    </sheetView>
  </sheetViews>
  <sheetFormatPr defaultColWidth="9" defaultRowHeight="14.4" x14ac:dyDescent="0.35"/>
  <cols>
    <col min="1" max="1" width="22.5" style="1" customWidth="1"/>
    <col min="2" max="4" width="9.59765625" style="1" customWidth="1"/>
    <col min="5" max="5" width="2.59765625" style="1" customWidth="1"/>
    <col min="6" max="6" width="22.5" style="1" customWidth="1"/>
    <col min="7" max="9" width="9.59765625" style="1" customWidth="1"/>
    <col min="10" max="16384" width="9" style="1"/>
  </cols>
  <sheetData>
    <row r="1" spans="1:15" ht="26.1" customHeight="1" x14ac:dyDescent="0.35">
      <c r="A1" s="28" t="s">
        <v>112</v>
      </c>
      <c r="B1" s="28"/>
      <c r="C1" s="28"/>
      <c r="D1" s="28"/>
      <c r="E1" s="28"/>
      <c r="F1" s="28"/>
      <c r="G1" s="28"/>
      <c r="H1" s="28"/>
      <c r="I1" s="28"/>
    </row>
    <row r="2" spans="1:15" s="2" customFormat="1" ht="13.8" x14ac:dyDescent="0.3">
      <c r="A2" s="50" t="s">
        <v>114</v>
      </c>
      <c r="B2" s="27"/>
      <c r="C2" s="27"/>
      <c r="D2" s="27"/>
      <c r="E2" s="25"/>
      <c r="F2" s="25"/>
      <c r="G2" s="26"/>
      <c r="H2" s="63"/>
      <c r="I2" s="63"/>
    </row>
    <row r="3" spans="1:15" s="2" customFormat="1" ht="12" x14ac:dyDescent="0.3">
      <c r="E3" s="3"/>
    </row>
    <row r="4" spans="1:15" x14ac:dyDescent="0.35">
      <c r="A4" s="17" t="s">
        <v>3</v>
      </c>
      <c r="B4" s="18" t="s">
        <v>74</v>
      </c>
      <c r="C4" s="19" t="s">
        <v>2</v>
      </c>
      <c r="D4" s="19" t="s">
        <v>70</v>
      </c>
      <c r="E4" s="15" t="s">
        <v>73</v>
      </c>
      <c r="F4" s="21" t="s">
        <v>76</v>
      </c>
      <c r="G4" s="22" t="s">
        <v>74</v>
      </c>
      <c r="H4" s="22" t="s">
        <v>2</v>
      </c>
      <c r="I4" s="22" t="s">
        <v>70</v>
      </c>
    </row>
    <row r="5" spans="1:15" ht="15" x14ac:dyDescent="0.35">
      <c r="A5" s="4" t="s">
        <v>13</v>
      </c>
      <c r="B5" s="53">
        <v>0</v>
      </c>
      <c r="C5" s="53">
        <v>0</v>
      </c>
      <c r="D5" s="9">
        <f t="shared" ref="D5:D11" si="0">C5-B5</f>
        <v>0</v>
      </c>
      <c r="E5" s="8"/>
      <c r="F5" s="23" t="s">
        <v>4</v>
      </c>
      <c r="G5" s="61">
        <f>Table224354657[[#Totals],[Budget]]</f>
        <v>0</v>
      </c>
      <c r="H5" s="61">
        <f>Table224354657[[#Totals],[Actual]]</f>
        <v>0</v>
      </c>
      <c r="I5" s="61">
        <f>G5-H5</f>
        <v>0</v>
      </c>
      <c r="L5"/>
    </row>
    <row r="6" spans="1:15" ht="15.6" thickBot="1" x14ac:dyDescent="0.4">
      <c r="A6" s="4" t="s">
        <v>7</v>
      </c>
      <c r="B6" s="53"/>
      <c r="C6" s="53"/>
      <c r="D6" s="9">
        <f t="shared" si="0"/>
        <v>0</v>
      </c>
      <c r="E6" s="8"/>
      <c r="F6" s="23" t="s">
        <v>5</v>
      </c>
      <c r="G6" s="61">
        <f>SUM(,Table525364758[[#Totals],[Budget]],Table2033445566[[#Totals],[Budget]],Table2134455667[[#Totals],[Budget]],Table1932435465[[#Totals],[Budget]],Table1531425364[[#Totals],[Budget]],Table1430415263[[#Totals],[Budget]],Table1029405162[[#Totals],[Budget]],Table828395061[[#Totals],[Budget]],Table727384960[[#Totals],[Budget]],Table626374859[[#Totals],[Budget]])</f>
        <v>0</v>
      </c>
      <c r="H6" s="61">
        <f>SUM(Table525364758[[#Totals],[Actual]],Table2033445566[[#Totals],[Actual]],Table2134455667[[#Totals],[Actual]],Table1932435465[[#Totals],[Actual]],Table1531425364[[#Totals],[Actual]],Table1430415263[[#Totals],[Actual]],Table1029405162[[#Totals],[Actual]],Table828395061[[#Totals],[Actual]],Table727384960[[#Totals],[Actual]],Table626374859[[#Totals],[Actual]])</f>
        <v>0</v>
      </c>
      <c r="I6" s="61">
        <f>G6-H6</f>
        <v>0</v>
      </c>
      <c r="L6"/>
    </row>
    <row r="7" spans="1:15" ht="15" thickTop="1" x14ac:dyDescent="0.35">
      <c r="A7" s="4" t="s">
        <v>8</v>
      </c>
      <c r="B7" s="53"/>
      <c r="C7" s="53"/>
      <c r="D7" s="9">
        <f t="shared" si="0"/>
        <v>0</v>
      </c>
      <c r="E7" s="8"/>
      <c r="F7" s="24" t="s">
        <v>6</v>
      </c>
      <c r="G7" s="62">
        <f>G5-G6</f>
        <v>0</v>
      </c>
      <c r="H7" s="62">
        <f>H5-H6</f>
        <v>0</v>
      </c>
      <c r="I7" s="62">
        <f>H7-G7</f>
        <v>0</v>
      </c>
    </row>
    <row r="8" spans="1:15" s="2" customFormat="1" x14ac:dyDescent="0.35">
      <c r="A8" s="4" t="s">
        <v>12</v>
      </c>
      <c r="B8" s="53"/>
      <c r="C8" s="53"/>
      <c r="D8" s="9">
        <f t="shared" si="0"/>
        <v>0</v>
      </c>
      <c r="E8" s="10"/>
      <c r="F8" s="10"/>
      <c r="G8" s="10"/>
      <c r="H8" s="10"/>
      <c r="I8" s="10"/>
    </row>
    <row r="9" spans="1:15" x14ac:dyDescent="0.35">
      <c r="A9" s="4" t="s">
        <v>75</v>
      </c>
      <c r="B9" s="53"/>
      <c r="C9" s="53"/>
      <c r="D9" s="9">
        <f t="shared" si="0"/>
        <v>0</v>
      </c>
      <c r="E9" s="8"/>
      <c r="F9" s="10"/>
      <c r="G9" s="10"/>
      <c r="H9" s="10"/>
      <c r="I9" s="10"/>
    </row>
    <row r="10" spans="1:15" x14ac:dyDescent="0.35">
      <c r="A10" s="4" t="s">
        <v>71</v>
      </c>
      <c r="B10" s="53"/>
      <c r="C10" s="53"/>
      <c r="D10" s="9">
        <f t="shared" si="0"/>
        <v>0</v>
      </c>
      <c r="E10" s="8"/>
      <c r="F10" s="17" t="s">
        <v>38</v>
      </c>
      <c r="G10" s="18" t="s">
        <v>74</v>
      </c>
      <c r="H10" s="19" t="s">
        <v>2</v>
      </c>
      <c r="I10" s="19" t="s">
        <v>70</v>
      </c>
    </row>
    <row r="11" spans="1:15" x14ac:dyDescent="0.35">
      <c r="A11" s="4" t="s">
        <v>18</v>
      </c>
      <c r="B11" s="53"/>
      <c r="C11" s="53"/>
      <c r="D11" s="9">
        <f t="shared" si="0"/>
        <v>0</v>
      </c>
      <c r="E11" s="8"/>
      <c r="F11" s="4" t="s">
        <v>10</v>
      </c>
      <c r="G11" s="57"/>
      <c r="H11" s="57"/>
      <c r="I11" s="56">
        <f t="shared" ref="I11:I19" si="1">G11-H11</f>
        <v>0</v>
      </c>
    </row>
    <row r="12" spans="1:15" x14ac:dyDescent="0.35">
      <c r="A12" s="4" t="s">
        <v>18</v>
      </c>
      <c r="B12" s="54"/>
      <c r="C12" s="54"/>
      <c r="D12" s="9">
        <f>C12-B12</f>
        <v>0</v>
      </c>
      <c r="E12" s="8"/>
      <c r="F12" s="4" t="s">
        <v>39</v>
      </c>
      <c r="G12" s="57"/>
      <c r="H12" s="57"/>
      <c r="I12" s="56">
        <f t="shared" si="1"/>
        <v>0</v>
      </c>
    </row>
    <row r="13" spans="1:15" x14ac:dyDescent="0.35">
      <c r="A13" s="20" t="str">
        <f>"Total " &amp; Table224354657[[#Headers],[INCOME]]</f>
        <v>Total INCOME</v>
      </c>
      <c r="B13" s="55">
        <f>SUBTOTAL(9,Table224354657[Budget])</f>
        <v>0</v>
      </c>
      <c r="C13" s="55">
        <f>SUBTOTAL(9,Table224354657[Actual])</f>
        <v>0</v>
      </c>
      <c r="D13" s="11">
        <f>SUBTOTAL(9,Table224354657[Difference])</f>
        <v>0</v>
      </c>
      <c r="E13" s="8"/>
      <c r="F13" s="4" t="s">
        <v>9</v>
      </c>
      <c r="G13" s="57"/>
      <c r="H13" s="57"/>
      <c r="I13" s="56">
        <f t="shared" si="1"/>
        <v>0</v>
      </c>
    </row>
    <row r="14" spans="1:15" x14ac:dyDescent="0.35">
      <c r="A14" s="8"/>
      <c r="B14" s="8"/>
      <c r="C14" s="8"/>
      <c r="D14" s="8"/>
      <c r="E14" s="8"/>
      <c r="F14" s="4" t="s">
        <v>105</v>
      </c>
      <c r="G14" s="57"/>
      <c r="H14" s="57"/>
      <c r="I14" s="56">
        <f t="shared" si="1"/>
        <v>0</v>
      </c>
    </row>
    <row r="15" spans="1:15" x14ac:dyDescent="0.35">
      <c r="A15" s="17" t="s">
        <v>15</v>
      </c>
      <c r="B15" s="18" t="s">
        <v>74</v>
      </c>
      <c r="C15" s="19" t="s">
        <v>2</v>
      </c>
      <c r="D15" s="19" t="s">
        <v>70</v>
      </c>
      <c r="E15" s="8"/>
      <c r="F15" s="4" t="s">
        <v>106</v>
      </c>
      <c r="G15" s="57"/>
      <c r="H15" s="57"/>
      <c r="I15" s="56">
        <f t="shared" si="1"/>
        <v>0</v>
      </c>
    </row>
    <row r="16" spans="1:15" ht="15" x14ac:dyDescent="0.35">
      <c r="A16" s="4" t="s">
        <v>60</v>
      </c>
      <c r="B16" s="53"/>
      <c r="C16" s="53"/>
      <c r="D16" s="56"/>
      <c r="E16" s="8"/>
      <c r="F16" s="4" t="s">
        <v>61</v>
      </c>
      <c r="G16" s="57"/>
      <c r="H16" s="57"/>
      <c r="I16" s="56">
        <f t="shared" si="1"/>
        <v>0</v>
      </c>
      <c r="O16"/>
    </row>
    <row r="17" spans="1:9" x14ac:dyDescent="0.35">
      <c r="A17" s="4" t="s">
        <v>98</v>
      </c>
      <c r="B17" s="53"/>
      <c r="C17" s="53"/>
      <c r="D17" s="56"/>
      <c r="E17" s="8"/>
      <c r="F17" s="4" t="s">
        <v>62</v>
      </c>
      <c r="G17" s="57"/>
      <c r="H17" s="57"/>
      <c r="I17" s="56">
        <f t="shared" si="1"/>
        <v>0</v>
      </c>
    </row>
    <row r="18" spans="1:9" x14ac:dyDescent="0.35">
      <c r="A18" s="4" t="s">
        <v>16</v>
      </c>
      <c r="B18" s="53"/>
      <c r="C18" s="53"/>
      <c r="D18" s="56"/>
      <c r="E18" s="8"/>
      <c r="F18" s="4" t="s">
        <v>107</v>
      </c>
      <c r="G18" s="57"/>
      <c r="H18" s="57"/>
      <c r="I18" s="56">
        <f t="shared" si="1"/>
        <v>0</v>
      </c>
    </row>
    <row r="19" spans="1:9" x14ac:dyDescent="0.35">
      <c r="A19" s="4" t="s">
        <v>59</v>
      </c>
      <c r="B19" s="53"/>
      <c r="C19" s="53"/>
      <c r="D19" s="56"/>
      <c r="E19" s="8"/>
      <c r="F19" s="4" t="s">
        <v>18</v>
      </c>
      <c r="G19" s="57"/>
      <c r="H19" s="57"/>
      <c r="I19" s="56">
        <f t="shared" si="1"/>
        <v>0</v>
      </c>
    </row>
    <row r="20" spans="1:9" s="5" customFormat="1" x14ac:dyDescent="0.35">
      <c r="A20" s="4" t="s">
        <v>58</v>
      </c>
      <c r="B20" s="53"/>
      <c r="C20" s="53"/>
      <c r="D20" s="56"/>
      <c r="E20" s="8"/>
      <c r="F20" s="20" t="str">
        <f>"Total " &amp; Table626374859[[#Headers],[DAILY LIVING]]</f>
        <v>Total DAILY LIVING</v>
      </c>
      <c r="G20" s="55">
        <f>SUBTOTAL(9,Table626374859[Budget])</f>
        <v>0</v>
      </c>
      <c r="H20" s="55">
        <f>SUBTOTAL(9,Table626374859[Actual])</f>
        <v>0</v>
      </c>
      <c r="I20" s="58">
        <f>SUBTOTAL(9,Table626374859[Difference])</f>
        <v>0</v>
      </c>
    </row>
    <row r="21" spans="1:9" x14ac:dyDescent="0.35">
      <c r="A21" s="4" t="s">
        <v>20</v>
      </c>
      <c r="B21" s="53"/>
      <c r="C21" s="53"/>
      <c r="D21" s="56"/>
      <c r="E21" s="8"/>
      <c r="F21" s="8"/>
      <c r="G21" s="14"/>
      <c r="H21" s="14"/>
      <c r="I21" s="14"/>
    </row>
    <row r="22" spans="1:9" x14ac:dyDescent="0.35">
      <c r="A22" s="4" t="s">
        <v>57</v>
      </c>
      <c r="B22" s="53"/>
      <c r="C22" s="53"/>
      <c r="D22" s="56"/>
      <c r="E22" s="8"/>
      <c r="F22" s="17" t="s">
        <v>29</v>
      </c>
      <c r="G22" s="18" t="s">
        <v>74</v>
      </c>
      <c r="H22" s="19" t="s">
        <v>2</v>
      </c>
      <c r="I22" s="19" t="s">
        <v>70</v>
      </c>
    </row>
    <row r="23" spans="1:9" x14ac:dyDescent="0.35">
      <c r="A23" s="4" t="s">
        <v>17</v>
      </c>
      <c r="B23" s="53"/>
      <c r="C23" s="53"/>
      <c r="D23" s="56"/>
      <c r="E23" s="8"/>
      <c r="F23" s="4" t="s">
        <v>64</v>
      </c>
      <c r="G23" s="57"/>
      <c r="H23" s="57"/>
      <c r="I23" s="56">
        <f t="shared" ref="I23:I36" si="2">G23-H23</f>
        <v>0</v>
      </c>
    </row>
    <row r="24" spans="1:9" x14ac:dyDescent="0.35">
      <c r="A24" s="4" t="s">
        <v>56</v>
      </c>
      <c r="B24" s="53"/>
      <c r="C24" s="53"/>
      <c r="D24" s="56"/>
      <c r="E24" s="8"/>
      <c r="F24" s="4" t="s">
        <v>0</v>
      </c>
      <c r="G24" s="57"/>
      <c r="H24" s="57"/>
      <c r="I24" s="56">
        <f t="shared" si="2"/>
        <v>0</v>
      </c>
    </row>
    <row r="25" spans="1:9" x14ac:dyDescent="0.35">
      <c r="A25" s="4" t="s">
        <v>55</v>
      </c>
      <c r="B25" s="53"/>
      <c r="C25" s="53"/>
      <c r="D25" s="56"/>
      <c r="E25" s="8"/>
      <c r="F25" s="4" t="s">
        <v>67</v>
      </c>
      <c r="G25" s="57"/>
      <c r="H25" s="57"/>
      <c r="I25" s="56">
        <f t="shared" si="2"/>
        <v>0</v>
      </c>
    </row>
    <row r="26" spans="1:9" x14ac:dyDescent="0.35">
      <c r="A26" s="4" t="s">
        <v>99</v>
      </c>
      <c r="B26" s="53"/>
      <c r="C26" s="53"/>
      <c r="D26" s="56"/>
      <c r="E26" s="8"/>
      <c r="F26" s="4" t="s">
        <v>33</v>
      </c>
      <c r="G26" s="57"/>
      <c r="H26" s="57"/>
      <c r="I26" s="56">
        <f t="shared" si="2"/>
        <v>0</v>
      </c>
    </row>
    <row r="27" spans="1:9" x14ac:dyDescent="0.35">
      <c r="A27" s="4" t="s">
        <v>19</v>
      </c>
      <c r="B27" s="53"/>
      <c r="C27" s="53"/>
      <c r="D27" s="56"/>
      <c r="E27" s="8"/>
      <c r="F27" s="4" t="s">
        <v>63</v>
      </c>
      <c r="G27" s="57"/>
      <c r="H27" s="57"/>
      <c r="I27" s="56">
        <f t="shared" si="2"/>
        <v>0</v>
      </c>
    </row>
    <row r="28" spans="1:9" x14ac:dyDescent="0.35">
      <c r="A28" s="4" t="s">
        <v>18</v>
      </c>
      <c r="B28" s="57"/>
      <c r="C28" s="57"/>
      <c r="D28" s="56"/>
      <c r="E28" s="8"/>
      <c r="F28" s="4" t="s">
        <v>65</v>
      </c>
      <c r="G28" s="57"/>
      <c r="H28" s="57"/>
      <c r="I28" s="56">
        <f t="shared" si="2"/>
        <v>0</v>
      </c>
    </row>
    <row r="29" spans="1:9" x14ac:dyDescent="0.35">
      <c r="A29" s="20" t="str">
        <f>"Total " &amp; Table525364758[[#Headers],[HOME EXPENSES]]</f>
        <v>Total HOME EXPENSES</v>
      </c>
      <c r="B29" s="55" t="s">
        <v>113</v>
      </c>
      <c r="C29" s="55" t="s">
        <v>113</v>
      </c>
      <c r="D29" s="58"/>
      <c r="E29" s="8"/>
      <c r="F29" s="4" t="s">
        <v>30</v>
      </c>
      <c r="G29" s="57"/>
      <c r="H29" s="57"/>
      <c r="I29" s="56">
        <f t="shared" si="2"/>
        <v>0</v>
      </c>
    </row>
    <row r="30" spans="1:9" x14ac:dyDescent="0.35">
      <c r="A30" s="8"/>
      <c r="B30" s="14"/>
      <c r="C30" s="14"/>
      <c r="D30" s="14"/>
      <c r="E30" s="8"/>
      <c r="F30" s="4" t="s">
        <v>35</v>
      </c>
      <c r="G30" s="57"/>
      <c r="H30" s="57"/>
      <c r="I30" s="56">
        <f t="shared" si="2"/>
        <v>0</v>
      </c>
    </row>
    <row r="31" spans="1:9" x14ac:dyDescent="0.35">
      <c r="A31" s="17" t="s">
        <v>21</v>
      </c>
      <c r="B31" s="18" t="s">
        <v>74</v>
      </c>
      <c r="C31" s="19" t="s">
        <v>2</v>
      </c>
      <c r="D31" s="19" t="s">
        <v>70</v>
      </c>
      <c r="E31" s="8"/>
      <c r="F31" s="4" t="s">
        <v>66</v>
      </c>
      <c r="G31" s="57"/>
      <c r="H31" s="57"/>
      <c r="I31" s="56">
        <f t="shared" si="2"/>
        <v>0</v>
      </c>
    </row>
    <row r="32" spans="1:9" x14ac:dyDescent="0.35">
      <c r="A32" s="4" t="s">
        <v>22</v>
      </c>
      <c r="B32" s="57"/>
      <c r="C32" s="57"/>
      <c r="D32" s="56">
        <f>B32-C32</f>
        <v>0</v>
      </c>
      <c r="E32" s="8"/>
      <c r="F32" s="4" t="s">
        <v>36</v>
      </c>
      <c r="G32" s="57"/>
      <c r="H32" s="57"/>
      <c r="I32" s="56">
        <f t="shared" si="2"/>
        <v>0</v>
      </c>
    </row>
    <row r="33" spans="1:9" x14ac:dyDescent="0.35">
      <c r="A33" s="4" t="s">
        <v>100</v>
      </c>
      <c r="B33" s="57"/>
      <c r="C33" s="57"/>
      <c r="D33" s="56">
        <f t="shared" ref="D33:D38" si="3">B33-C33</f>
        <v>0</v>
      </c>
      <c r="E33" s="8"/>
      <c r="F33" s="4" t="s">
        <v>34</v>
      </c>
      <c r="G33" s="57"/>
      <c r="H33" s="57"/>
      <c r="I33" s="56">
        <f t="shared" si="2"/>
        <v>0</v>
      </c>
    </row>
    <row r="34" spans="1:9" x14ac:dyDescent="0.35">
      <c r="A34" s="4" t="s">
        <v>23</v>
      </c>
      <c r="B34" s="57"/>
      <c r="C34" s="57"/>
      <c r="D34" s="56">
        <f>B34-C34</f>
        <v>0</v>
      </c>
      <c r="E34" s="8"/>
      <c r="F34" s="4" t="s">
        <v>68</v>
      </c>
      <c r="G34" s="57"/>
      <c r="H34" s="57"/>
      <c r="I34" s="56">
        <f t="shared" si="2"/>
        <v>0</v>
      </c>
    </row>
    <row r="35" spans="1:9" x14ac:dyDescent="0.35">
      <c r="A35" s="4" t="s">
        <v>53</v>
      </c>
      <c r="B35" s="57"/>
      <c r="C35" s="57"/>
      <c r="D35" s="56">
        <f t="shared" si="3"/>
        <v>0</v>
      </c>
      <c r="E35" s="8"/>
      <c r="F35" s="4" t="s">
        <v>108</v>
      </c>
      <c r="G35" s="57"/>
      <c r="H35" s="57"/>
      <c r="I35" s="56">
        <f t="shared" si="2"/>
        <v>0</v>
      </c>
    </row>
    <row r="36" spans="1:9" x14ac:dyDescent="0.35">
      <c r="A36" s="4" t="s">
        <v>24</v>
      </c>
      <c r="B36" s="57"/>
      <c r="C36" s="57"/>
      <c r="D36" s="56">
        <f t="shared" si="3"/>
        <v>0</v>
      </c>
      <c r="E36" s="8"/>
      <c r="F36" s="4" t="s">
        <v>18</v>
      </c>
      <c r="G36" s="57"/>
      <c r="H36" s="57"/>
      <c r="I36" s="56">
        <f t="shared" si="2"/>
        <v>0</v>
      </c>
    </row>
    <row r="37" spans="1:9" x14ac:dyDescent="0.35">
      <c r="A37" s="4" t="s">
        <v>54</v>
      </c>
      <c r="B37" s="57"/>
      <c r="C37" s="57"/>
      <c r="D37" s="56">
        <f t="shared" si="3"/>
        <v>0</v>
      </c>
      <c r="E37" s="8"/>
      <c r="F37" s="20" t="str">
        <f>"Total " &amp; Table727384960[[#Headers],[ENTERTAINMENT]]</f>
        <v>Total ENTERTAINMENT</v>
      </c>
      <c r="G37" s="55">
        <f>SUBTOTAL(9,Table727384960[Budget])</f>
        <v>0</v>
      </c>
      <c r="H37" s="55">
        <f>SUBTOTAL(9,Table727384960[Actual])</f>
        <v>0</v>
      </c>
      <c r="I37" s="58">
        <f>SUBTOTAL(9,Table727384960[Difference])</f>
        <v>0</v>
      </c>
    </row>
    <row r="38" spans="1:9" x14ac:dyDescent="0.35">
      <c r="A38" s="4" t="s">
        <v>18</v>
      </c>
      <c r="B38" s="57"/>
      <c r="C38" s="57"/>
      <c r="D38" s="56">
        <f t="shared" si="3"/>
        <v>0</v>
      </c>
      <c r="E38" s="8"/>
      <c r="F38" s="8"/>
      <c r="G38" s="14"/>
      <c r="H38" s="14"/>
      <c r="I38" s="14"/>
    </row>
    <row r="39" spans="1:9" x14ac:dyDescent="0.35">
      <c r="A39" s="20" t="str">
        <f>"Total " &amp; Table2033445566[[#Headers],[TRANSPORTATION]]</f>
        <v>Total TRANSPORTATION</v>
      </c>
      <c r="B39" s="55">
        <f>SUBTOTAL(9,Table2033445566[Budget])</f>
        <v>0</v>
      </c>
      <c r="C39" s="55">
        <f>SUBTOTAL(9,Table2033445566[Actual])</f>
        <v>0</v>
      </c>
      <c r="D39" s="58">
        <f>SUBTOTAL(9,Table2033445566[Difference])</f>
        <v>0</v>
      </c>
      <c r="E39" s="8"/>
      <c r="F39" s="17" t="s">
        <v>46</v>
      </c>
      <c r="G39" s="18" t="s">
        <v>74</v>
      </c>
      <c r="H39" s="19" t="s">
        <v>2</v>
      </c>
      <c r="I39" s="19" t="s">
        <v>70</v>
      </c>
    </row>
    <row r="40" spans="1:9" x14ac:dyDescent="0.35">
      <c r="A40" s="8"/>
      <c r="B40" s="14"/>
      <c r="C40" s="14"/>
      <c r="D40" s="14"/>
      <c r="E40" s="8"/>
      <c r="F40" s="4" t="s">
        <v>43</v>
      </c>
      <c r="G40" s="57"/>
      <c r="H40" s="57"/>
      <c r="I40" s="56">
        <f>G40-H40</f>
        <v>0</v>
      </c>
    </row>
    <row r="41" spans="1:9" x14ac:dyDescent="0.35">
      <c r="A41" s="17" t="s">
        <v>25</v>
      </c>
      <c r="B41" s="18" t="s">
        <v>74</v>
      </c>
      <c r="C41" s="19" t="s">
        <v>2</v>
      </c>
      <c r="D41" s="19" t="s">
        <v>70</v>
      </c>
      <c r="E41" s="8"/>
      <c r="F41" s="4" t="s">
        <v>44</v>
      </c>
      <c r="G41" s="57"/>
      <c r="H41" s="57"/>
      <c r="I41" s="56">
        <f t="shared" ref="I41:I42" si="4">G41-H41</f>
        <v>0</v>
      </c>
    </row>
    <row r="42" spans="1:9" x14ac:dyDescent="0.35">
      <c r="A42" s="4" t="s">
        <v>101</v>
      </c>
      <c r="B42" s="57"/>
      <c r="C42" s="57"/>
      <c r="D42" s="56">
        <f t="shared" ref="D42:D48" si="5">B42-C42</f>
        <v>0</v>
      </c>
      <c r="E42" s="8"/>
      <c r="F42" s="4" t="s">
        <v>47</v>
      </c>
      <c r="G42" s="57"/>
      <c r="H42" s="57"/>
      <c r="I42" s="56">
        <f t="shared" si="4"/>
        <v>0</v>
      </c>
    </row>
    <row r="43" spans="1:9" x14ac:dyDescent="0.35">
      <c r="A43" s="4" t="s">
        <v>26</v>
      </c>
      <c r="B43" s="57"/>
      <c r="C43" s="57"/>
      <c r="D43" s="56">
        <f t="shared" si="5"/>
        <v>0</v>
      </c>
      <c r="E43" s="8"/>
      <c r="F43" s="4" t="s">
        <v>45</v>
      </c>
      <c r="G43" s="57"/>
      <c r="H43" s="57"/>
      <c r="I43" s="56">
        <f>G43-H43</f>
        <v>0</v>
      </c>
    </row>
    <row r="44" spans="1:9" x14ac:dyDescent="0.35">
      <c r="A44" s="4" t="s">
        <v>27</v>
      </c>
      <c r="B44" s="57"/>
      <c r="C44" s="57"/>
      <c r="D44" s="56">
        <f t="shared" si="5"/>
        <v>0</v>
      </c>
      <c r="E44" s="8"/>
      <c r="F44" s="4" t="s">
        <v>109</v>
      </c>
      <c r="G44" s="57"/>
      <c r="H44" s="57"/>
      <c r="I44" s="56">
        <f>G44-H44</f>
        <v>0</v>
      </c>
    </row>
    <row r="45" spans="1:9" x14ac:dyDescent="0.35">
      <c r="A45" s="4" t="s">
        <v>28</v>
      </c>
      <c r="B45" s="57"/>
      <c r="C45" s="57"/>
      <c r="D45" s="56">
        <f t="shared" si="5"/>
        <v>0</v>
      </c>
      <c r="E45" s="8"/>
      <c r="F45" s="4" t="s">
        <v>18</v>
      </c>
      <c r="G45" s="57"/>
      <c r="H45" s="57"/>
      <c r="I45" s="56">
        <f>G45-H45</f>
        <v>0</v>
      </c>
    </row>
    <row r="46" spans="1:9" x14ac:dyDescent="0.35">
      <c r="A46" s="4" t="s">
        <v>102</v>
      </c>
      <c r="B46" s="57"/>
      <c r="C46" s="57"/>
      <c r="D46" s="56">
        <f t="shared" si="5"/>
        <v>0</v>
      </c>
      <c r="E46" s="8"/>
      <c r="F46" s="20" t="str">
        <f>"Total " &amp; Table828395061[[#Headers],[SAVINGS]]</f>
        <v>Total SAVINGS</v>
      </c>
      <c r="G46" s="55">
        <f>SUBTOTAL(9,Table828395061[Budget])</f>
        <v>0</v>
      </c>
      <c r="H46" s="55">
        <f>SUBTOTAL(9,Table828395061[Actual])</f>
        <v>0</v>
      </c>
      <c r="I46" s="58">
        <f>SUBTOTAL(9,Table828395061[Difference])</f>
        <v>0</v>
      </c>
    </row>
    <row r="47" spans="1:9" x14ac:dyDescent="0.35">
      <c r="A47" s="4" t="s">
        <v>103</v>
      </c>
      <c r="B47" s="57"/>
      <c r="C47" s="57"/>
      <c r="D47" s="56">
        <f t="shared" si="5"/>
        <v>0</v>
      </c>
      <c r="E47" s="8"/>
      <c r="F47" s="8"/>
      <c r="G47" s="14"/>
      <c r="H47" s="14"/>
      <c r="I47" s="14"/>
    </row>
    <row r="48" spans="1:9" x14ac:dyDescent="0.35">
      <c r="A48" s="4" t="s">
        <v>18</v>
      </c>
      <c r="B48" s="57"/>
      <c r="C48" s="57"/>
      <c r="D48" s="56">
        <f t="shared" si="5"/>
        <v>0</v>
      </c>
      <c r="E48" s="8"/>
      <c r="F48" s="17" t="s">
        <v>48</v>
      </c>
      <c r="G48" s="18" t="s">
        <v>74</v>
      </c>
      <c r="H48" s="19" t="s">
        <v>2</v>
      </c>
      <c r="I48" s="19" t="s">
        <v>70</v>
      </c>
    </row>
    <row r="49" spans="1:9" x14ac:dyDescent="0.35">
      <c r="A49" s="20" t="str">
        <f>"Total " &amp; Table2134455667[[#Headers],[HEALTH]]</f>
        <v>Total HEALTH</v>
      </c>
      <c r="B49" s="55">
        <f>SUBTOTAL(9,Table2134455667[Budget])</f>
        <v>0</v>
      </c>
      <c r="C49" s="55">
        <f>SUBTOTAL(9,Table2134455667[Actual])</f>
        <v>0</v>
      </c>
      <c r="D49" s="58">
        <f>SUBTOTAL(9,Table2134455667[Difference])</f>
        <v>0</v>
      </c>
      <c r="E49" s="8"/>
      <c r="F49" s="4" t="s">
        <v>49</v>
      </c>
      <c r="G49" s="57"/>
      <c r="H49" s="57"/>
      <c r="I49" s="56">
        <f t="shared" ref="I49:I55" si="6">G49-H49</f>
        <v>0</v>
      </c>
    </row>
    <row r="50" spans="1:9" x14ac:dyDescent="0.35">
      <c r="A50" s="8"/>
      <c r="B50" s="14"/>
      <c r="C50" s="14"/>
      <c r="D50" s="14"/>
      <c r="E50" s="8"/>
      <c r="F50" s="4" t="s">
        <v>50</v>
      </c>
      <c r="G50" s="57"/>
      <c r="H50" s="57"/>
      <c r="I50" s="56">
        <f t="shared" si="6"/>
        <v>0</v>
      </c>
    </row>
    <row r="51" spans="1:9" x14ac:dyDescent="0.35">
      <c r="A51" s="17" t="s">
        <v>69</v>
      </c>
      <c r="B51" s="18" t="s">
        <v>74</v>
      </c>
      <c r="C51" s="19" t="s">
        <v>2</v>
      </c>
      <c r="D51" s="19" t="s">
        <v>70</v>
      </c>
      <c r="E51" s="8"/>
      <c r="F51" s="4" t="s">
        <v>110</v>
      </c>
      <c r="G51" s="57"/>
      <c r="H51" s="57"/>
      <c r="I51" s="56">
        <f t="shared" si="6"/>
        <v>0</v>
      </c>
    </row>
    <row r="52" spans="1:9" x14ac:dyDescent="0.35">
      <c r="A52" s="4" t="s">
        <v>11</v>
      </c>
      <c r="B52" s="57"/>
      <c r="C52" s="57"/>
      <c r="D52" s="59">
        <f t="shared" ref="D52:D55" si="7">B52-C52</f>
        <v>0</v>
      </c>
      <c r="E52" s="8"/>
      <c r="F52" s="4" t="s">
        <v>72</v>
      </c>
      <c r="G52" s="57"/>
      <c r="H52" s="57"/>
      <c r="I52" s="56">
        <f t="shared" si="6"/>
        <v>0</v>
      </c>
    </row>
    <row r="53" spans="1:9" x14ac:dyDescent="0.35">
      <c r="A53" s="4" t="s">
        <v>40</v>
      </c>
      <c r="B53" s="57"/>
      <c r="C53" s="57"/>
      <c r="D53" s="59">
        <f t="shared" si="7"/>
        <v>0</v>
      </c>
      <c r="E53" s="8"/>
      <c r="F53" s="4" t="s">
        <v>51</v>
      </c>
      <c r="G53" s="57"/>
      <c r="H53" s="57"/>
      <c r="I53" s="56">
        <f t="shared" si="6"/>
        <v>0</v>
      </c>
    </row>
    <row r="54" spans="1:9" x14ac:dyDescent="0.35">
      <c r="A54" s="4" t="s">
        <v>41</v>
      </c>
      <c r="B54" s="57"/>
      <c r="C54" s="57"/>
      <c r="D54" s="59">
        <f t="shared" si="7"/>
        <v>0</v>
      </c>
      <c r="E54" s="8"/>
      <c r="F54" s="4" t="s">
        <v>52</v>
      </c>
      <c r="G54" s="57"/>
      <c r="H54" s="57"/>
      <c r="I54" s="56">
        <f t="shared" si="6"/>
        <v>0</v>
      </c>
    </row>
    <row r="55" spans="1:9" x14ac:dyDescent="0.35">
      <c r="A55" s="4" t="s">
        <v>18</v>
      </c>
      <c r="B55" s="57"/>
      <c r="C55" s="57"/>
      <c r="D55" s="59">
        <f t="shared" si="7"/>
        <v>0</v>
      </c>
      <c r="E55" s="8"/>
      <c r="F55" s="4" t="s">
        <v>18</v>
      </c>
      <c r="G55" s="57"/>
      <c r="H55" s="57"/>
      <c r="I55" s="56">
        <f t="shared" si="6"/>
        <v>0</v>
      </c>
    </row>
    <row r="56" spans="1:9" x14ac:dyDescent="0.35">
      <c r="A56" s="20" t="str">
        <f>"Total " &amp; Table1932435465[[#Headers],[CHARITY/GIFTS]]</f>
        <v>Total CHARITY/GIFTS</v>
      </c>
      <c r="B56" s="55">
        <f>SUBTOTAL(9,Table1932435465[Budget])</f>
        <v>0</v>
      </c>
      <c r="C56" s="55">
        <f>SUBTOTAL(9,Table1932435465[Actual])</f>
        <v>0</v>
      </c>
      <c r="D56" s="60">
        <f>SUBTOTAL(9,Table1932435465[Difference])</f>
        <v>0</v>
      </c>
      <c r="E56" s="8"/>
      <c r="F56" s="20" t="str">
        <f>"Total " &amp; Table1029405162[[#Headers],[OBLIGATIONS]]</f>
        <v>Total OBLIGATIONS</v>
      </c>
      <c r="G56" s="55">
        <f>SUBTOTAL(9,Table1029405162[Budget])</f>
        <v>0</v>
      </c>
      <c r="H56" s="55">
        <f>SUBTOTAL(9,Table1029405162[Actual])</f>
        <v>0</v>
      </c>
      <c r="I56" s="58">
        <f>SUBTOTAL(9,Table1029405162[Difference])</f>
        <v>0</v>
      </c>
    </row>
    <row r="57" spans="1:9" x14ac:dyDescent="0.35">
      <c r="A57" s="8"/>
      <c r="B57" s="14"/>
      <c r="C57" s="14"/>
      <c r="D57" s="14"/>
      <c r="E57" s="8"/>
      <c r="F57" s="8"/>
      <c r="G57" s="14"/>
      <c r="H57" s="14"/>
      <c r="I57" s="14"/>
    </row>
    <row r="58" spans="1:9" x14ac:dyDescent="0.35">
      <c r="A58" s="17" t="s">
        <v>37</v>
      </c>
      <c r="B58" s="18" t="s">
        <v>74</v>
      </c>
      <c r="C58" s="19" t="s">
        <v>2</v>
      </c>
      <c r="D58" s="19" t="s">
        <v>70</v>
      </c>
      <c r="E58" s="8"/>
      <c r="F58" s="17" t="s">
        <v>14</v>
      </c>
      <c r="G58" s="18" t="s">
        <v>74</v>
      </c>
      <c r="H58" s="19" t="s">
        <v>2</v>
      </c>
      <c r="I58" s="19" t="s">
        <v>70</v>
      </c>
    </row>
    <row r="59" spans="1:9" x14ac:dyDescent="0.35">
      <c r="A59" s="4" t="s">
        <v>31</v>
      </c>
      <c r="B59" s="57"/>
      <c r="C59" s="57"/>
      <c r="D59" s="56">
        <f t="shared" ref="D59:D62" si="8">B59-C59</f>
        <v>0</v>
      </c>
      <c r="E59" s="8"/>
      <c r="F59" s="4" t="s">
        <v>42</v>
      </c>
      <c r="G59" s="53"/>
      <c r="H59" s="53"/>
      <c r="I59" s="56">
        <f t="shared" ref="I59:I62" si="9">G59-H59</f>
        <v>0</v>
      </c>
    </row>
    <row r="60" spans="1:9" x14ac:dyDescent="0.35">
      <c r="A60" s="4" t="s">
        <v>32</v>
      </c>
      <c r="B60" s="57"/>
      <c r="C60" s="57"/>
      <c r="D60" s="56">
        <f t="shared" si="8"/>
        <v>0</v>
      </c>
      <c r="E60" s="8"/>
      <c r="F60" s="4" t="s">
        <v>1</v>
      </c>
      <c r="G60" s="53"/>
      <c r="H60" s="53"/>
      <c r="I60" s="56">
        <f t="shared" si="9"/>
        <v>0</v>
      </c>
    </row>
    <row r="61" spans="1:9" x14ac:dyDescent="0.35">
      <c r="A61" s="4" t="s">
        <v>104</v>
      </c>
      <c r="B61" s="57"/>
      <c r="C61" s="57"/>
      <c r="D61" s="56">
        <f t="shared" si="8"/>
        <v>0</v>
      </c>
      <c r="E61" s="8"/>
      <c r="F61" s="4" t="s">
        <v>111</v>
      </c>
      <c r="G61" s="53"/>
      <c r="H61" s="53"/>
      <c r="I61" s="56">
        <f t="shared" si="9"/>
        <v>0</v>
      </c>
    </row>
    <row r="62" spans="1:9" x14ac:dyDescent="0.35">
      <c r="A62" s="4" t="s">
        <v>18</v>
      </c>
      <c r="B62" s="57"/>
      <c r="C62" s="57"/>
      <c r="D62" s="56">
        <f t="shared" si="8"/>
        <v>0</v>
      </c>
      <c r="E62" s="8"/>
      <c r="F62" s="4" t="s">
        <v>18</v>
      </c>
      <c r="G62" s="57"/>
      <c r="H62" s="57"/>
      <c r="I62" s="56">
        <f t="shared" si="9"/>
        <v>0</v>
      </c>
    </row>
    <row r="63" spans="1:9" x14ac:dyDescent="0.35">
      <c r="A63" s="20" t="str">
        <f>"Total " &amp; Table1531425364[[#Headers],[SUBSCRIPTIONS]]</f>
        <v>Total SUBSCRIPTIONS</v>
      </c>
      <c r="B63" s="55">
        <f>SUBTOTAL(9,Table1531425364[Budget])</f>
        <v>0</v>
      </c>
      <c r="C63" s="55">
        <f>SUBTOTAL(9,Table1531425364[Actual])</f>
        <v>0</v>
      </c>
      <c r="D63" s="58">
        <f>SUBTOTAL(9,Table1531425364[Difference])</f>
        <v>0</v>
      </c>
      <c r="E63" s="8"/>
      <c r="F63" s="20" t="str">
        <f>"Total " &amp; Table1430415263[[#Headers],[MISCELLANEOUS]]</f>
        <v>Total MISCELLANEOUS</v>
      </c>
      <c r="G63" s="55">
        <f>SUBTOTAL(9,Table1430415263[Budget])</f>
        <v>0</v>
      </c>
      <c r="H63" s="55">
        <f>SUBTOTAL(9,Table1430415263[Actual])</f>
        <v>0</v>
      </c>
      <c r="I63" s="58">
        <f>SUBTOTAL(9,Table1430415263[Difference])</f>
        <v>0</v>
      </c>
    </row>
    <row r="64" spans="1:9" x14ac:dyDescent="0.35">
      <c r="E64" s="8"/>
      <c r="F64" s="7"/>
    </row>
    <row r="65" spans="5:6" x14ac:dyDescent="0.35">
      <c r="E65" s="8"/>
      <c r="F65" s="7"/>
    </row>
    <row r="66" spans="5:6" x14ac:dyDescent="0.35">
      <c r="E66" s="8"/>
      <c r="F66" s="7"/>
    </row>
    <row r="67" spans="5:6" x14ac:dyDescent="0.35">
      <c r="E67" s="8"/>
      <c r="F67" s="7"/>
    </row>
    <row r="68" spans="5:6" x14ac:dyDescent="0.35">
      <c r="E68" s="8"/>
      <c r="F68" s="7"/>
    </row>
    <row r="69" spans="5:6" x14ac:dyDescent="0.35">
      <c r="E69" s="8"/>
      <c r="F69" s="7"/>
    </row>
    <row r="70" spans="5:6" x14ac:dyDescent="0.35">
      <c r="E70" s="8"/>
    </row>
    <row r="71" spans="5:6" x14ac:dyDescent="0.35">
      <c r="E71" s="8"/>
    </row>
    <row r="72" spans="5:6" x14ac:dyDescent="0.35">
      <c r="E72" s="8"/>
      <c r="F72" s="7"/>
    </row>
    <row r="73" spans="5:6" x14ac:dyDescent="0.35">
      <c r="E73" s="8"/>
      <c r="F73" s="7"/>
    </row>
    <row r="74" spans="5:6" x14ac:dyDescent="0.35">
      <c r="E74" s="12"/>
      <c r="F74" s="7"/>
    </row>
    <row r="75" spans="5:6" x14ac:dyDescent="0.35">
      <c r="E75" s="13"/>
      <c r="F75" s="7"/>
    </row>
    <row r="76" spans="5:6" x14ac:dyDescent="0.35">
      <c r="E76" s="13"/>
      <c r="F76" s="7"/>
    </row>
    <row r="77" spans="5:6" x14ac:dyDescent="0.35">
      <c r="E77" s="13"/>
      <c r="F77" s="7"/>
    </row>
    <row r="78" spans="5:6" x14ac:dyDescent="0.35">
      <c r="E78" s="13"/>
      <c r="F78" s="7"/>
    </row>
    <row r="79" spans="5:6" x14ac:dyDescent="0.35">
      <c r="E79" s="8"/>
      <c r="F79" s="7"/>
    </row>
    <row r="80" spans="5:6" x14ac:dyDescent="0.35">
      <c r="E80" s="12"/>
      <c r="F80" s="7"/>
    </row>
    <row r="81" spans="5:6" x14ac:dyDescent="0.35">
      <c r="E81" s="13"/>
      <c r="F81" s="7"/>
    </row>
    <row r="82" spans="5:6" x14ac:dyDescent="0.35">
      <c r="E82" s="13"/>
    </row>
    <row r="83" spans="5:6" x14ac:dyDescent="0.35">
      <c r="E83" s="13"/>
    </row>
    <row r="84" spans="5:6" x14ac:dyDescent="0.35">
      <c r="E84" s="16" t="s">
        <v>73</v>
      </c>
    </row>
    <row r="85" spans="5:6" x14ac:dyDescent="0.35">
      <c r="E85" s="13"/>
    </row>
    <row r="86" spans="5:6" x14ac:dyDescent="0.35">
      <c r="E86" s="13"/>
    </row>
    <row r="87" spans="5:6" x14ac:dyDescent="0.35">
      <c r="E87" s="13"/>
    </row>
    <row r="88" spans="5:6" x14ac:dyDescent="0.35">
      <c r="E88" s="13"/>
    </row>
    <row r="89" spans="5:6" x14ac:dyDescent="0.35">
      <c r="E89" s="13"/>
    </row>
    <row r="90" spans="5:6" x14ac:dyDescent="0.35">
      <c r="E90" s="8"/>
    </row>
    <row r="91" spans="5:6" x14ac:dyDescent="0.35">
      <c r="E91" s="12"/>
    </row>
    <row r="92" spans="5:6" x14ac:dyDescent="0.35">
      <c r="E92" s="7"/>
    </row>
    <row r="93" spans="5:6" x14ac:dyDescent="0.35">
      <c r="E93" s="7"/>
    </row>
    <row r="94" spans="5:6" x14ac:dyDescent="0.35">
      <c r="E94" s="7"/>
    </row>
    <row r="95" spans="5:6" x14ac:dyDescent="0.35">
      <c r="E95" s="7"/>
    </row>
    <row r="96" spans="5:6" x14ac:dyDescent="0.35">
      <c r="E96" s="7"/>
    </row>
    <row r="97" spans="5:5" x14ac:dyDescent="0.35">
      <c r="E97" s="7"/>
    </row>
    <row r="98" spans="5:5" x14ac:dyDescent="0.35">
      <c r="E98" s="7"/>
    </row>
    <row r="99" spans="5:5" x14ac:dyDescent="0.35">
      <c r="E99" s="7"/>
    </row>
    <row r="100" spans="5:5" x14ac:dyDescent="0.35">
      <c r="E100" s="7"/>
    </row>
    <row r="101" spans="5:5" x14ac:dyDescent="0.35">
      <c r="E101" s="7"/>
    </row>
    <row r="122" spans="6:6" x14ac:dyDescent="0.35">
      <c r="F122" s="7"/>
    </row>
    <row r="123" spans="6:6" x14ac:dyDescent="0.35">
      <c r="F123" s="7"/>
    </row>
    <row r="124" spans="6:6" x14ac:dyDescent="0.35">
      <c r="F124" s="7"/>
    </row>
    <row r="125" spans="6:6" x14ac:dyDescent="0.35">
      <c r="F125" s="7"/>
    </row>
    <row r="126" spans="6:6" x14ac:dyDescent="0.35">
      <c r="F126" s="7"/>
    </row>
    <row r="127" spans="6:6" x14ac:dyDescent="0.35">
      <c r="F127" s="7"/>
    </row>
    <row r="128" spans="6:6" x14ac:dyDescent="0.35">
      <c r="F128" s="7"/>
    </row>
    <row r="131" spans="5:6" x14ac:dyDescent="0.35">
      <c r="F131" s="7"/>
    </row>
    <row r="132" spans="5:6" x14ac:dyDescent="0.35">
      <c r="F132" s="7"/>
    </row>
    <row r="133" spans="5:6" x14ac:dyDescent="0.35">
      <c r="F133" s="7"/>
    </row>
    <row r="134" spans="5:6" x14ac:dyDescent="0.35">
      <c r="F134" s="7"/>
    </row>
    <row r="135" spans="5:6" x14ac:dyDescent="0.35">
      <c r="F135" s="7"/>
    </row>
    <row r="136" spans="5:6" x14ac:dyDescent="0.35">
      <c r="F136" s="7"/>
    </row>
    <row r="137" spans="5:6" x14ac:dyDescent="0.35">
      <c r="F137" s="7"/>
    </row>
    <row r="141" spans="5:6" x14ac:dyDescent="0.35">
      <c r="E141" s="6"/>
    </row>
    <row r="142" spans="5:6" x14ac:dyDescent="0.35">
      <c r="E142" s="7"/>
    </row>
    <row r="143" spans="5:6" x14ac:dyDescent="0.35">
      <c r="E143" s="7"/>
    </row>
    <row r="144" spans="5:6" x14ac:dyDescent="0.35">
      <c r="E144" s="7"/>
    </row>
    <row r="145" spans="5:5" x14ac:dyDescent="0.35">
      <c r="E145" s="7"/>
    </row>
    <row r="146" spans="5:5" x14ac:dyDescent="0.35">
      <c r="E146" s="7"/>
    </row>
    <row r="147" spans="5:5" x14ac:dyDescent="0.35">
      <c r="E147" s="7"/>
    </row>
    <row r="148" spans="5:5" x14ac:dyDescent="0.35">
      <c r="E148" s="7"/>
    </row>
    <row r="150" spans="5:5" x14ac:dyDescent="0.35">
      <c r="E150" s="6"/>
    </row>
    <row r="151" spans="5:5" x14ac:dyDescent="0.35">
      <c r="E151" s="7"/>
    </row>
    <row r="152" spans="5:5" x14ac:dyDescent="0.35">
      <c r="E152" s="7"/>
    </row>
    <row r="153" spans="5:5" x14ac:dyDescent="0.35">
      <c r="E153" s="7"/>
    </row>
    <row r="154" spans="5:5" x14ac:dyDescent="0.35">
      <c r="E154" s="7"/>
    </row>
    <row r="155" spans="5:5" x14ac:dyDescent="0.35">
      <c r="E155" s="7"/>
    </row>
    <row r="156" spans="5:5" x14ac:dyDescent="0.35">
      <c r="E156" s="7"/>
    </row>
    <row r="157" spans="5:5" x14ac:dyDescent="0.35">
      <c r="E157" s="7"/>
    </row>
  </sheetData>
  <mergeCells count="1">
    <mergeCell ref="H2:I2"/>
  </mergeCells>
  <conditionalFormatting sqref="D32:D38 D52:D55 D59:D62 D16:D28 I49:I55 D5:D13 D42:D48 I11:I19 I23:I36 I40:I45 I59:I62">
    <cfRule type="cellIs" dxfId="129" priority="1" stopIfTrue="1" operator="lessThan">
      <formula>0</formula>
    </cfRule>
  </conditionalFormatting>
  <pageMargins left="0.5" right="0.5" top="0.35" bottom="0.35" header="0.5" footer="0.25"/>
  <pageSetup scale="81" orientation="portrait" r:id="rId1"/>
  <headerFooter alignWithMargins="0"/>
  <drawing r:id="rId2"/>
  <tableParts count="11">
    <tablePart r:id="rId3"/>
    <tablePart r:id="rId4"/>
    <tablePart r:id="rId5"/>
    <tablePart r:id="rId6"/>
    <tablePart r:id="rId7"/>
    <tablePart r:id="rId8"/>
    <tablePart r:id="rId9"/>
    <tablePart r:id="rId10"/>
    <tablePart r:id="rId11"/>
    <tablePart r:id="rId12"/>
    <tablePart r:id="rId1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7"/>
  <sheetViews>
    <sheetView showGridLines="0" topLeftCell="A20" workbookViewId="0">
      <selection activeCell="B39" sqref="B39"/>
    </sheetView>
  </sheetViews>
  <sheetFormatPr defaultColWidth="0" defaultRowHeight="14.25" customHeight="1" zeroHeight="1" x14ac:dyDescent="0.25"/>
  <cols>
    <col min="1" max="1" width="9" customWidth="1"/>
    <col min="2" max="2" width="56.296875" customWidth="1"/>
    <col min="3" max="3" width="4.59765625" customWidth="1"/>
    <col min="4" max="4" width="12.19921875" customWidth="1"/>
    <col min="5" max="6" width="9" customWidth="1"/>
    <col min="7" max="16384" width="9" hidden="1"/>
  </cols>
  <sheetData>
    <row r="1" spans="1:4" ht="26.1" customHeight="1" x14ac:dyDescent="0.25">
      <c r="A1" s="29" t="s">
        <v>77</v>
      </c>
      <c r="B1" s="29"/>
      <c r="C1" s="30"/>
      <c r="D1" s="30"/>
    </row>
    <row r="2" spans="1:4" ht="13.8" x14ac:dyDescent="0.25">
      <c r="A2" s="43"/>
      <c r="D2" s="31"/>
    </row>
    <row r="3" spans="1:4" ht="13.8" x14ac:dyDescent="0.25">
      <c r="B3" s="32"/>
      <c r="D3" s="32"/>
    </row>
    <row r="4" spans="1:4" ht="14.4" x14ac:dyDescent="0.3">
      <c r="A4" s="33" t="s">
        <v>81</v>
      </c>
      <c r="B4" s="32"/>
      <c r="D4" s="32"/>
    </row>
    <row r="5" spans="1:4" ht="27.6" x14ac:dyDescent="0.25">
      <c r="B5" s="34" t="s">
        <v>78</v>
      </c>
      <c r="D5" s="32"/>
    </row>
    <row r="6" spans="1:4" ht="13.8" x14ac:dyDescent="0.25">
      <c r="B6" s="34"/>
      <c r="D6" s="32"/>
    </row>
    <row r="7" spans="1:4" ht="27.6" x14ac:dyDescent="0.25">
      <c r="B7" s="34" t="s">
        <v>86</v>
      </c>
      <c r="D7" s="32"/>
    </row>
    <row r="8" spans="1:4" ht="13.8" x14ac:dyDescent="0.25">
      <c r="B8" s="34"/>
      <c r="D8" s="32"/>
    </row>
    <row r="9" spans="1:4" ht="13.8" x14ac:dyDescent="0.25">
      <c r="A9" s="41" t="s">
        <v>84</v>
      </c>
      <c r="B9" s="42" t="s">
        <v>85</v>
      </c>
      <c r="D9" s="32"/>
    </row>
    <row r="10" spans="1:4" ht="13.8" x14ac:dyDescent="0.25">
      <c r="B10" s="34"/>
      <c r="D10" s="32"/>
    </row>
    <row r="11" spans="1:4" ht="41.4" x14ac:dyDescent="0.25">
      <c r="B11" s="34" t="s">
        <v>88</v>
      </c>
      <c r="D11" s="32"/>
    </row>
    <row r="12" spans="1:4" ht="13.8" x14ac:dyDescent="0.25">
      <c r="B12" s="34"/>
      <c r="D12" s="32"/>
    </row>
    <row r="13" spans="1:4" ht="13.8" x14ac:dyDescent="0.25">
      <c r="A13" s="41" t="s">
        <v>87</v>
      </c>
      <c r="B13" s="42" t="s">
        <v>89</v>
      </c>
      <c r="D13" s="32"/>
    </row>
    <row r="14" spans="1:4" ht="13.8" x14ac:dyDescent="0.25">
      <c r="B14" s="34"/>
      <c r="D14" s="32"/>
    </row>
    <row r="15" spans="1:4" ht="13.8" x14ac:dyDescent="0.25">
      <c r="B15" s="34" t="s">
        <v>91</v>
      </c>
      <c r="D15" s="32"/>
    </row>
    <row r="16" spans="1:4" ht="13.8" x14ac:dyDescent="0.25">
      <c r="B16" s="34"/>
      <c r="D16" s="32"/>
    </row>
    <row r="17" spans="1:4" ht="27.6" x14ac:dyDescent="0.25">
      <c r="B17" s="34" t="s">
        <v>90</v>
      </c>
      <c r="D17" s="32"/>
    </row>
    <row r="18" spans="1:4" ht="13.8" x14ac:dyDescent="0.25">
      <c r="B18" s="34"/>
      <c r="D18" s="32"/>
    </row>
    <row r="19" spans="1:4" ht="13.8" x14ac:dyDescent="0.25">
      <c r="A19" s="41" t="s">
        <v>92</v>
      </c>
      <c r="B19" s="42" t="s">
        <v>93</v>
      </c>
      <c r="D19" s="32"/>
    </row>
    <row r="20" spans="1:4" ht="13.8" x14ac:dyDescent="0.25">
      <c r="B20" s="34"/>
      <c r="D20" s="32"/>
    </row>
    <row r="21" spans="1:4" ht="27.6" x14ac:dyDescent="0.25">
      <c r="B21" s="34" t="s">
        <v>94</v>
      </c>
      <c r="D21" s="32"/>
    </row>
    <row r="22" spans="1:4" ht="13.8" x14ac:dyDescent="0.25">
      <c r="B22" s="34"/>
      <c r="D22" s="32"/>
    </row>
    <row r="23" spans="1:4" ht="14.4" x14ac:dyDescent="0.3">
      <c r="A23" s="33" t="s">
        <v>82</v>
      </c>
      <c r="B23" s="32"/>
      <c r="D23" s="32"/>
    </row>
    <row r="24" spans="1:4" ht="69" x14ac:dyDescent="0.25">
      <c r="B24" s="34" t="s">
        <v>79</v>
      </c>
      <c r="D24" s="32"/>
    </row>
    <row r="25" spans="1:4" ht="13.8" x14ac:dyDescent="0.25">
      <c r="B25" s="32"/>
      <c r="D25" s="32"/>
    </row>
    <row r="26" spans="1:4" ht="14.4" x14ac:dyDescent="0.3">
      <c r="A26" s="33" t="s">
        <v>83</v>
      </c>
      <c r="B26" s="32"/>
      <c r="D26" s="32"/>
    </row>
    <row r="27" spans="1:4" ht="55.2" x14ac:dyDescent="0.25">
      <c r="B27" s="34" t="s">
        <v>80</v>
      </c>
      <c r="D27" s="32"/>
    </row>
    <row r="28" spans="1:4" ht="13.8" x14ac:dyDescent="0.25">
      <c r="B28" s="32"/>
      <c r="D28" s="32"/>
    </row>
    <row r="29" spans="1:4" ht="14.4" x14ac:dyDescent="0.3">
      <c r="A29" s="33" t="s">
        <v>95</v>
      </c>
      <c r="B29" s="32"/>
      <c r="D29" s="32"/>
    </row>
    <row r="30" spans="1:4" ht="41.4" x14ac:dyDescent="0.25">
      <c r="B30" s="34" t="s">
        <v>96</v>
      </c>
      <c r="D30" s="32"/>
    </row>
    <row r="31" spans="1:4" ht="13.8" x14ac:dyDescent="0.25">
      <c r="B31" s="32"/>
      <c r="D31" s="32"/>
    </row>
    <row r="32" spans="1:4" ht="13.8" x14ac:dyDescent="0.25">
      <c r="B32" s="34"/>
      <c r="D32" s="32"/>
    </row>
    <row r="33" spans="1:4" ht="15.6" x14ac:dyDescent="0.3">
      <c r="A33" s="35"/>
      <c r="B33" s="36"/>
      <c r="D33" s="37"/>
    </row>
    <row r="34" spans="1:4" ht="13.8" x14ac:dyDescent="0.25">
      <c r="D34" s="37"/>
    </row>
    <row r="35" spans="1:4" ht="14.4" x14ac:dyDescent="0.3">
      <c r="A35" s="38"/>
      <c r="B35" s="39"/>
    </row>
    <row r="36" spans="1:4" ht="13.8" x14ac:dyDescent="0.25"/>
    <row r="37" spans="1:4" ht="14.4" x14ac:dyDescent="0.3">
      <c r="A37" s="38"/>
      <c r="B37" s="39"/>
      <c r="D37" s="37"/>
    </row>
    <row r="38" spans="1:4" ht="13.8" x14ac:dyDescent="0.25">
      <c r="B38" s="40"/>
    </row>
    <row r="39" spans="1:4" ht="14.4" x14ac:dyDescent="0.3">
      <c r="A39" s="38"/>
      <c r="B39" s="39"/>
    </row>
    <row r="40" spans="1:4" ht="13.8" x14ac:dyDescent="0.25">
      <c r="B40" s="40"/>
    </row>
    <row r="41" spans="1:4" ht="14.4" x14ac:dyDescent="0.3">
      <c r="A41" s="38"/>
      <c r="B41" s="39"/>
    </row>
    <row r="42" spans="1:4" ht="13.8" x14ac:dyDescent="0.25"/>
    <row r="43" spans="1:4" ht="13.8" x14ac:dyDescent="0.25"/>
    <row r="44" spans="1:4" ht="13.8" x14ac:dyDescent="0.25"/>
    <row r="45" spans="1:4" ht="13.8" x14ac:dyDescent="0.25"/>
    <row r="46" spans="1:4" ht="13.8" x14ac:dyDescent="0.25"/>
    <row r="47" spans="1:4" ht="13.8" x14ac:dyDescent="0.25"/>
    <row r="48" spans="1:4" ht="13.8" x14ac:dyDescent="0.25"/>
    <row r="49" ht="13.8" x14ac:dyDescent="0.25"/>
    <row r="50" ht="13.8"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showGridLines="0" workbookViewId="0">
      <selection sqref="A1:A15"/>
    </sheetView>
  </sheetViews>
  <sheetFormatPr defaultRowHeight="13.8" x14ac:dyDescent="0.25"/>
  <cols>
    <col min="1" max="1" width="66.5" style="45" customWidth="1"/>
  </cols>
  <sheetData>
    <row r="1" spans="1:1" ht="26.1" customHeight="1" x14ac:dyDescent="0.25">
      <c r="A1" s="44"/>
    </row>
    <row r="2" spans="1:1" ht="15" x14ac:dyDescent="0.25">
      <c r="A2" s="46"/>
    </row>
    <row r="3" spans="1:1" x14ac:dyDescent="0.25">
      <c r="A3" s="49"/>
    </row>
    <row r="4" spans="1:1" ht="15" x14ac:dyDescent="0.25">
      <c r="A4" s="46"/>
    </row>
    <row r="5" spans="1:1" ht="15.6" x14ac:dyDescent="0.3">
      <c r="A5" s="47"/>
    </row>
    <row r="6" spans="1:1" ht="15" x14ac:dyDescent="0.25">
      <c r="A6" s="46"/>
    </row>
    <row r="7" spans="1:1" ht="15" x14ac:dyDescent="0.25">
      <c r="A7" s="46"/>
    </row>
    <row r="8" spans="1:1" ht="15" x14ac:dyDescent="0.25">
      <c r="A8" s="46"/>
    </row>
    <row r="9" spans="1:1" ht="15" x14ac:dyDescent="0.25">
      <c r="A9" s="46"/>
    </row>
    <row r="10" spans="1:1" ht="15" x14ac:dyDescent="0.25">
      <c r="A10" s="46"/>
    </row>
    <row r="11" spans="1:1" ht="15" x14ac:dyDescent="0.25">
      <c r="A11" s="46"/>
    </row>
    <row r="12" spans="1:1" ht="15" x14ac:dyDescent="0.25">
      <c r="A12" s="46"/>
    </row>
    <row r="13" spans="1:1" ht="15" x14ac:dyDescent="0.25">
      <c r="A13" s="51"/>
    </row>
    <row r="14" spans="1:1" ht="15" x14ac:dyDescent="0.25">
      <c r="A14" s="48"/>
    </row>
    <row r="15" spans="1:1" ht="14.4" x14ac:dyDescent="0.3">
      <c r="A15" s="52"/>
    </row>
  </sheetData>
  <pageMargins left="0.7" right="0.7" top="0.75" bottom="0.75" header="0.3" footer="0.3"/>
  <pageSetup orientation="portrait" r:id="rId1"/>
</worksheet>
</file>

<file path=customUI/_rels/customUI.xml.rels><?xml version="1.0" encoding="UTF-8" standalone="yes"?>
<Relationships xmlns="http://schemas.openxmlformats.org/package/2006/relationships"><Relationship Id="vertex42_logo" Type="http://schemas.openxmlformats.org/officeDocument/2006/relationships/image" Target="images/vertex42_logo0.png"/></Relationships>
</file>

<file path=customUI/_rels/customUI14.xml.rels><?xml version="1.0" encoding="UTF-8" standalone="yes"?>
<Relationships xmlns="http://schemas.openxmlformats.org/package/2006/relationships"><Relationship Id="vertex42_logo" Type="http://schemas.openxmlformats.org/officeDocument/2006/relationships/image" Target="images/vertex42_logo.png"/><Relationship Id="personal-monthly-budget_180" Type="http://schemas.openxmlformats.org/officeDocument/2006/relationships/image" Target="images/personal-monthly-budget_180.png"/></Relationships>
</file>

<file path=customUI/customUI.xml><?xml version="1.0" encoding="utf-8"?>
<!-- File created by www.vertex42.com (c) Vertex42 LLC. All rights reserved. -->
<customUI xmlns="http://schemas.microsoft.com/office/2006/01/customui">
</customUI>
</file>

<file path=customUI/customUI14.xml><?xml version="1.0" encoding="utf-8"?>
<!-- File created by www.vertex42.com (c) Vertex42 LLC -->
<customUI xmlns="http://schemas.microsoft.com/office/2009/07/customui" loadImage="LoadImageFromThisWorkbook">
  <backstage>
    <tab id="a1" label="About Vertex42" columnWidthPercent="40">
      <firstColumn>
        <group id="g_topLogo">
          <topItems>
            <layoutContainer id="c_topLogo">
              <hyperlink id="link_image" label="Click here to visit Vertex42.com" target="http://www.vertex42.com/?ref=bsimg" image="vertex42_logo" screentip="Visit Vertex42.com"/>
            </layoutContainer>
          </topItems>
        </group>
        <group id="g_about" label="About Vertex42" helperText="Vertex42.com provides professionally designed spreadsheet and document templates for business, education and home use.">
          <topItems>
            <hyperlink id="link_about" label="Click here to visit Vertex42.com" target="http://www.vertex42.com/?ref=bsxml"/>
            <labelControl id="spacer_below_link" label=" "/>
          </topItems>
        </group>
        <group id="g_resources" label="More Templates by Vertex42.com">
          <topItems>
            <layoutContainer id="resources_1" layoutChildren="vertical">
              <hyperlink id="link_resource_1" label="Templates for Excel" target="http://www.vertex42.com/ExcelTemplates/?ref=bsres"/>
              <hyperlink id="link_resource_2" label="Templates for Word" target="http://www.vertex42.com/WordTemplates/?ref=bsres"/>
              <hyperlink id="link_resource_3" label="Calendar Templates" target="http://www.vertex42.com/calendars/?ref=bsres"/>
              <hyperlink id="link_resource_4" label="Financial Calculators" target="http://www.vertex42.com/Calculators/?ref=bsres"/>
              <hyperlink id="link_resource_5" label="Template Gallery Add-in" target="http://www.vertex42.com/apps/?ref=bsres"/>
            </layoutContainer>
          </topItems>
        </group>
      </firstColumn>
      <secondColumn>
        <group id="g_description" label="Personal Monthly Budget" helperText="A monthly budget worksheet with categories for an individual person.">
          <topItems>
            <labelControl id="spacer1" label=" "/>
            <imageControl id="template_thumbnail" image="personal-monthly-budget_180"/>
            <labelControl id="spacer_below_image" label=" "/>
          </topItems>
        </group>
        <group id="g_terms" label="Template Details">
          <topItems>
            <layoutContainer id="info_author" layoutChildren="horizontal">
              <labelControl id="lab_author" label="Author:" alignLabel="left"/>
              <labelControl id="lab_author_value" label="Vertex42.com" alignLabel="left"/>
            </layoutContainer>
            <layoutContainer id="info_copyright" layoutChildren="horizontal">
              <labelControl id="lab_copyright" label="Copyright:"/>
              <labelControl id="lab_copyright_value" label="© 2014 Vertex42 LLC"/>
            </layoutContainer>
            <layoutContainer id="info_info" layoutChildren="vertical">
              <hyperlink id="link_info" label="Template Info Page" target="http://www.vertex42.com/ExcelTemplates/personal-monthly-budget.html?ref=bsinfo"/>
            </layoutContainer>
            <labelControl id="spacer_below_details" label=" "/>
          </topItems>
        </group>
        <group id="g_details" label="Terms of Use" helperText="This spreadsheet, including all worksheets and associated content, is considered a copyrighted work. Please review the license agreement on the template info page to learn how you may or may not use this template.">
</group>
      </secondColumn>
    </tab>
  </backstage>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Month 1</vt:lpstr>
      <vt:lpstr>Month 2</vt:lpstr>
      <vt:lpstr>Month 3</vt:lpstr>
      <vt:lpstr>Month 4</vt:lpstr>
      <vt:lpstr>Month 5</vt:lpstr>
      <vt:lpstr>Month 6</vt:lpstr>
      <vt:lpstr>Help</vt:lpstr>
      <vt:lpstr>©</vt:lpstr>
      <vt:lpstr>'Month 1'!Print_Area</vt:lpstr>
      <vt:lpstr>'Month 2'!Print_Area</vt:lpstr>
      <vt:lpstr>'Month 3'!Print_Area</vt:lpstr>
      <vt:lpstr>'Month 4'!Print_Area</vt:lpstr>
      <vt:lpstr>'Month 5'!Print_Area</vt:lpstr>
      <vt:lpstr>'Month 6'!Print_Area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 Monthly Budget</dc:title>
  <dc:creator>pamel</dc:creator>
  <dc:description>(c) 2008-2014 Vertex42 LLC. All Rights Reserved.</dc:description>
  <cp:lastModifiedBy>pamel</cp:lastModifiedBy>
  <cp:lastPrinted>2018-11-05T03:16:16Z</cp:lastPrinted>
  <dcterms:created xsi:type="dcterms:W3CDTF">2007-10-28T01:07:07Z</dcterms:created>
  <dcterms:modified xsi:type="dcterms:W3CDTF">2019-01-10T17:46:44Z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2008-2014 Vertex42 LLC</vt:lpwstr>
  </property>
  <property fmtid="{D5CDD505-2E9C-101B-9397-08002B2CF9AE}" pid="3" name="Source">
    <vt:lpwstr>https://www.vertex42.com/ExcelTemplates/personal-monthly-budget.html</vt:lpwstr>
  </property>
  <property fmtid="{D5CDD505-2E9C-101B-9397-08002B2CF9AE}" pid="4" name="Version">
    <vt:lpwstr>1.1.2</vt:lpwstr>
  </property>
</Properties>
</file>